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Mon Drive\_PRIM\003 - SERVICES AUX MEMBRES\06 - Tarifs\"/>
    </mc:Choice>
  </mc:AlternateContent>
  <xr:revisionPtr revIDLastSave="0" documentId="13_ncr:1_{6EDCA65E-7424-488F-96B2-6590522A8AA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ECHNICAL REQUIREMENTS - PRIM" sheetId="2" r:id="rId1"/>
    <sheet name="INSTRUCTIONS &amp; EXAMPLE" sheetId="4" r:id="rId2"/>
    <sheet name="Tarifs" sheetId="1" state="hidden" r:id="rId3"/>
  </sheets>
  <definedNames>
    <definedName name="DUREE" localSheetId="1">'INSTRUCTIONS &amp; EXAMPLE'!$P$6</definedName>
    <definedName name="DUREE">'TECHNICAL REQUIREMENTS - PRIM'!$P$6</definedName>
    <definedName name="EQUIP_PPI">Tarifs!$A$4:$A$10</definedName>
    <definedName name="EQUIP_PPS">Tarifs!$A$13:$A$18</definedName>
    <definedName name="EQUIP_TOURNAGE">Tarifs!$A$48:$A$83</definedName>
    <definedName name="EQUIP_TR">Tarifs!$A$21</definedName>
    <definedName name="LTO">Tarifs!$F$23:$F$24</definedName>
    <definedName name="PROGRAMME">Tarifs!$A$94:$A$104</definedName>
    <definedName name="RABAIS">Tarifs!$B$95:$C$104</definedName>
    <definedName name="Supports">Tarifs!$A$86:$A$92</definedName>
    <definedName name="Tech_Ass">Tarifs!$D$3:$G$3</definedName>
    <definedName name="Tech_colo1">Tarifs!$D$6:$G$6</definedName>
    <definedName name="Tech_Colo2">Tarifs!$D$7:$G$7</definedName>
    <definedName name="Tech_edit">Tarifs!$D$15:$F$15</definedName>
    <definedName name="Tech_Labo">Tarifs!$D$13:$G$13</definedName>
    <definedName name="Tech_MixCine">Tarifs!$D$16:$G$16</definedName>
    <definedName name="Tech_Montage">Tarifs!$D$4:$G$4</definedName>
    <definedName name="Tech_online">Tarifs!$D$5:$G$5</definedName>
    <definedName name="Tech_VR">Tarifs!$D$8:$G$8</definedName>
    <definedName name="Techs_image">Tarifs!$A$35:$A$40</definedName>
    <definedName name="Techs_Images_Tarifs">Tarifs!$A$35:$B$40</definedName>
    <definedName name="Techs_son">Tarifs!$A$41:$A$44</definedName>
    <definedName name="Techs_son_Tarifs">Tarifs!$A$41:$B$44</definedName>
    <definedName name="Techs_TR">Tarifs!$A$45</definedName>
    <definedName name="UNIT_Tournage">Tarifs!$E$37:$E$40</definedName>
    <definedName name="VALEURS_FORMULAIRE" localSheetId="1">'INSTRUCTIONS &amp; EXAMPLE'!#REF!</definedName>
    <definedName name="VALEURS_FORMULAIRE">'TECHNICAL REQUIREMENTS - PRIM'!#REF!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vMCyTcs7D6NOK/DQULT3ZgUgxWmg+tEE5xITuTVu40c="/>
    </ext>
  </extLst>
</workbook>
</file>

<file path=xl/calcChain.xml><?xml version="1.0" encoding="utf-8"?>
<calcChain xmlns="http://schemas.openxmlformats.org/spreadsheetml/2006/main">
  <c r="G19" i="4" l="1"/>
  <c r="G18" i="4"/>
  <c r="G17" i="4"/>
  <c r="G16" i="4"/>
  <c r="G15" i="4"/>
  <c r="I15" i="4" s="1"/>
  <c r="G14" i="4"/>
  <c r="I14" i="4" s="1"/>
  <c r="G13" i="4"/>
  <c r="G19" i="2"/>
  <c r="G18" i="2"/>
  <c r="G17" i="2"/>
  <c r="G16" i="2"/>
  <c r="G15" i="2"/>
  <c r="G14" i="2"/>
  <c r="G13" i="2"/>
  <c r="K74" i="4"/>
  <c r="I73" i="4"/>
  <c r="M73" i="4" s="1"/>
  <c r="Z73" i="4" s="1"/>
  <c r="I72" i="4"/>
  <c r="M72" i="4" s="1"/>
  <c r="Z72" i="4" s="1"/>
  <c r="I71" i="4"/>
  <c r="M71" i="4" s="1"/>
  <c r="Z71" i="4" s="1"/>
  <c r="I70" i="4"/>
  <c r="I74" i="4" s="1"/>
  <c r="K66" i="4"/>
  <c r="I65" i="4"/>
  <c r="M65" i="4" s="1"/>
  <c r="Z65" i="4" s="1"/>
  <c r="G65" i="4"/>
  <c r="G64" i="4"/>
  <c r="I64" i="4" s="1"/>
  <c r="M64" i="4" s="1"/>
  <c r="Z64" i="4" s="1"/>
  <c r="I63" i="4"/>
  <c r="M63" i="4" s="1"/>
  <c r="Z63" i="4" s="1"/>
  <c r="G63" i="4"/>
  <c r="G62" i="4"/>
  <c r="I62" i="4" s="1"/>
  <c r="M62" i="4" s="1"/>
  <c r="Z62" i="4" s="1"/>
  <c r="I61" i="4"/>
  <c r="I66" i="4" s="1"/>
  <c r="G61" i="4"/>
  <c r="I56" i="4"/>
  <c r="G56" i="4"/>
  <c r="G55" i="4"/>
  <c r="I55" i="4" s="1"/>
  <c r="G53" i="4"/>
  <c r="I53" i="4" s="1"/>
  <c r="G52" i="4"/>
  <c r="I52" i="4" s="1"/>
  <c r="G51" i="4"/>
  <c r="E51" i="4"/>
  <c r="I51" i="4" s="1"/>
  <c r="R49" i="4"/>
  <c r="T49" i="4" s="1"/>
  <c r="P49" i="4"/>
  <c r="O49" i="4"/>
  <c r="I49" i="4"/>
  <c r="I57" i="4" s="1"/>
  <c r="G49" i="4"/>
  <c r="K48" i="4"/>
  <c r="K44" i="4"/>
  <c r="V44" i="4"/>
  <c r="R44" i="4"/>
  <c r="P44" i="4"/>
  <c r="T44" i="4" s="1"/>
  <c r="O44" i="4"/>
  <c r="G44" i="4"/>
  <c r="I44" i="4" s="1"/>
  <c r="K43" i="4"/>
  <c r="T43" i="4"/>
  <c r="R43" i="4"/>
  <c r="P43" i="4"/>
  <c r="O43" i="4"/>
  <c r="G43" i="4"/>
  <c r="I43" i="4" s="1"/>
  <c r="K42" i="4"/>
  <c r="V42" i="4"/>
  <c r="R42" i="4"/>
  <c r="P42" i="4"/>
  <c r="T42" i="4" s="1"/>
  <c r="O42" i="4"/>
  <c r="G42" i="4"/>
  <c r="I42" i="4" s="1"/>
  <c r="K41" i="4"/>
  <c r="T41" i="4"/>
  <c r="R41" i="4"/>
  <c r="P41" i="4"/>
  <c r="O41" i="4"/>
  <c r="G41" i="4"/>
  <c r="I41" i="4" s="1"/>
  <c r="K40" i="4"/>
  <c r="M40" i="4" s="1"/>
  <c r="R40" i="4"/>
  <c r="P40" i="4"/>
  <c r="T40" i="4" s="1"/>
  <c r="V40" i="4" s="1"/>
  <c r="O40" i="4"/>
  <c r="G40" i="4"/>
  <c r="I40" i="4" s="1"/>
  <c r="K39" i="4"/>
  <c r="T39" i="4"/>
  <c r="R39" i="4"/>
  <c r="P39" i="4"/>
  <c r="O39" i="4"/>
  <c r="G39" i="4"/>
  <c r="I39" i="4" s="1"/>
  <c r="K38" i="4"/>
  <c r="R38" i="4"/>
  <c r="P38" i="4"/>
  <c r="T38" i="4" s="1"/>
  <c r="O38" i="4"/>
  <c r="G38" i="4"/>
  <c r="I38" i="4" s="1"/>
  <c r="K37" i="4"/>
  <c r="T37" i="4"/>
  <c r="R37" i="4"/>
  <c r="P37" i="4"/>
  <c r="O37" i="4"/>
  <c r="G37" i="4"/>
  <c r="I37" i="4" s="1"/>
  <c r="K36" i="4"/>
  <c r="A32" i="4"/>
  <c r="K31" i="4"/>
  <c r="R31" i="4"/>
  <c r="P31" i="4"/>
  <c r="T31" i="4" s="1"/>
  <c r="V31" i="4" s="1"/>
  <c r="O31" i="4"/>
  <c r="I31" i="4"/>
  <c r="G31" i="4"/>
  <c r="K30" i="4"/>
  <c r="R30" i="4"/>
  <c r="P30" i="4"/>
  <c r="T30" i="4" s="1"/>
  <c r="O30" i="4"/>
  <c r="G30" i="4"/>
  <c r="I30" i="4" s="1"/>
  <c r="K29" i="4"/>
  <c r="R29" i="4"/>
  <c r="P29" i="4"/>
  <c r="T29" i="4" s="1"/>
  <c r="V29" i="4" s="1"/>
  <c r="O29" i="4"/>
  <c r="I29" i="4"/>
  <c r="G29" i="4"/>
  <c r="K28" i="4"/>
  <c r="R28" i="4"/>
  <c r="P28" i="4"/>
  <c r="T28" i="4" s="1"/>
  <c r="V28" i="4" s="1"/>
  <c r="O28" i="4"/>
  <c r="G28" i="4"/>
  <c r="I28" i="4" s="1"/>
  <c r="K27" i="4"/>
  <c r="R27" i="4"/>
  <c r="P27" i="4"/>
  <c r="T27" i="4" s="1"/>
  <c r="V27" i="4" s="1"/>
  <c r="O27" i="4"/>
  <c r="I27" i="4"/>
  <c r="G27" i="4"/>
  <c r="K26" i="4"/>
  <c r="R26" i="4"/>
  <c r="P26" i="4"/>
  <c r="T26" i="4" s="1"/>
  <c r="O26" i="4"/>
  <c r="G26" i="4"/>
  <c r="I26" i="4" s="1"/>
  <c r="R25" i="4"/>
  <c r="P25" i="4"/>
  <c r="T25" i="4" s="1"/>
  <c r="V25" i="4" s="1"/>
  <c r="O25" i="4"/>
  <c r="G25" i="4"/>
  <c r="I25" i="4" s="1"/>
  <c r="R24" i="4"/>
  <c r="P24" i="4"/>
  <c r="O24" i="4"/>
  <c r="G24" i="4"/>
  <c r="I24" i="4" s="1"/>
  <c r="K23" i="4"/>
  <c r="I19" i="4"/>
  <c r="I18" i="4"/>
  <c r="I17" i="4"/>
  <c r="I16" i="4"/>
  <c r="I13" i="4"/>
  <c r="K12" i="4"/>
  <c r="T7" i="4"/>
  <c r="K48" i="2"/>
  <c r="K36" i="2"/>
  <c r="K12" i="2"/>
  <c r="K23" i="2"/>
  <c r="T24" i="4" l="1"/>
  <c r="M44" i="4"/>
  <c r="M42" i="4"/>
  <c r="M38" i="4"/>
  <c r="M43" i="4"/>
  <c r="I20" i="4"/>
  <c r="K45" i="4"/>
  <c r="M39" i="4"/>
  <c r="V43" i="4"/>
  <c r="X43" i="4" s="1"/>
  <c r="V26" i="4"/>
  <c r="X26" i="4" s="1"/>
  <c r="M27" i="4"/>
  <c r="V30" i="4"/>
  <c r="X30" i="4" s="1"/>
  <c r="T45" i="4"/>
  <c r="V37" i="4"/>
  <c r="V38" i="4"/>
  <c r="X38" i="4" s="1"/>
  <c r="X44" i="4"/>
  <c r="T33" i="4"/>
  <c r="X40" i="4"/>
  <c r="V24" i="4"/>
  <c r="X24" i="4" s="1"/>
  <c r="C32" i="4"/>
  <c r="M26" i="4"/>
  <c r="M28" i="4"/>
  <c r="M30" i="4"/>
  <c r="M37" i="4"/>
  <c r="I45" i="4"/>
  <c r="V41" i="4"/>
  <c r="X41" i="4" s="1"/>
  <c r="T57" i="4"/>
  <c r="V49" i="4"/>
  <c r="V57" i="4" s="1"/>
  <c r="X28" i="4"/>
  <c r="V39" i="4"/>
  <c r="X39" i="4" s="1"/>
  <c r="M29" i="4"/>
  <c r="M31" i="4"/>
  <c r="M41" i="4"/>
  <c r="X25" i="4"/>
  <c r="X27" i="4"/>
  <c r="X29" i="4"/>
  <c r="X31" i="4"/>
  <c r="X42" i="4"/>
  <c r="M61" i="4"/>
  <c r="M70" i="4"/>
  <c r="Z31" i="4" l="1"/>
  <c r="Z29" i="4"/>
  <c r="Z40" i="4"/>
  <c r="Z30" i="4"/>
  <c r="Z28" i="4"/>
  <c r="Z43" i="4"/>
  <c r="T78" i="4"/>
  <c r="Z26" i="4"/>
  <c r="X49" i="4"/>
  <c r="V45" i="4"/>
  <c r="X33" i="4"/>
  <c r="G32" i="4"/>
  <c r="I32" i="4" s="1"/>
  <c r="X37" i="4"/>
  <c r="Z42" i="4"/>
  <c r="M66" i="4"/>
  <c r="Z61" i="4"/>
  <c r="Z66" i="4" s="1"/>
  <c r="V33" i="4"/>
  <c r="Z39" i="4"/>
  <c r="Z38" i="4"/>
  <c r="Z70" i="4"/>
  <c r="Z74" i="4" s="1"/>
  <c r="M74" i="4"/>
  <c r="Z41" i="4"/>
  <c r="M45" i="4"/>
  <c r="Z37" i="4"/>
  <c r="Z27" i="4"/>
  <c r="Z44" i="4"/>
  <c r="V78" i="4" l="1"/>
  <c r="V80" i="4" s="1"/>
  <c r="I33" i="4"/>
  <c r="I78" i="4" s="1"/>
  <c r="Z45" i="4"/>
  <c r="X45" i="4"/>
  <c r="X57" i="4"/>
  <c r="X78" i="4" l="1"/>
  <c r="P79" i="4"/>
  <c r="T79" i="4" s="1"/>
  <c r="X79" i="4" l="1"/>
  <c r="X80" i="4" s="1"/>
  <c r="T80" i="4"/>
  <c r="P49" i="2" l="1"/>
  <c r="AB41" i="2"/>
  <c r="AB26" i="2"/>
  <c r="AB27" i="2"/>
  <c r="AB28" i="2"/>
  <c r="AB29" i="2"/>
  <c r="AB30" i="2"/>
  <c r="AB31" i="2"/>
  <c r="T7" i="2"/>
  <c r="E111" i="1"/>
  <c r="E112" i="1"/>
  <c r="E113" i="1"/>
  <c r="E110" i="1"/>
  <c r="C111" i="1"/>
  <c r="C112" i="1"/>
  <c r="C113" i="1"/>
  <c r="C110" i="1"/>
  <c r="O24" i="2"/>
  <c r="R24" i="2"/>
  <c r="AA24" i="2"/>
  <c r="G24" i="2"/>
  <c r="D96" i="1"/>
  <c r="O44" i="2"/>
  <c r="O43" i="2"/>
  <c r="O42" i="2"/>
  <c r="O41" i="2"/>
  <c r="O40" i="2"/>
  <c r="O39" i="2"/>
  <c r="O38" i="2"/>
  <c r="O37" i="2"/>
  <c r="O31" i="2"/>
  <c r="O30" i="2"/>
  <c r="O29" i="2"/>
  <c r="O28" i="2"/>
  <c r="O27" i="2"/>
  <c r="O26" i="2"/>
  <c r="O25" i="2"/>
  <c r="Z68" i="4" l="1"/>
  <c r="Z47" i="4"/>
  <c r="K49" i="4"/>
  <c r="Z22" i="4"/>
  <c r="Z11" i="4"/>
  <c r="K25" i="4"/>
  <c r="M25" i="4" s="1"/>
  <c r="Z25" i="4" s="1"/>
  <c r="K24" i="4"/>
  <c r="M24" i="4" s="1"/>
  <c r="Z76" i="4"/>
  <c r="Z59" i="4"/>
  <c r="K52" i="4"/>
  <c r="M52" i="4" s="1"/>
  <c r="Z52" i="4" s="1"/>
  <c r="Z35" i="4"/>
  <c r="K55" i="4"/>
  <c r="M55" i="4" s="1"/>
  <c r="Z55" i="4" s="1"/>
  <c r="K18" i="4"/>
  <c r="M18" i="4" s="1"/>
  <c r="Z18" i="4" s="1"/>
  <c r="K15" i="4"/>
  <c r="M15" i="4" s="1"/>
  <c r="Z15" i="4" s="1"/>
  <c r="K56" i="4"/>
  <c r="M56" i="4" s="1"/>
  <c r="Z56" i="4" s="1"/>
  <c r="K53" i="4"/>
  <c r="M53" i="4" s="1"/>
  <c r="Z53" i="4" s="1"/>
  <c r="K51" i="4"/>
  <c r="M51" i="4" s="1"/>
  <c r="Z51" i="4" s="1"/>
  <c r="K19" i="4"/>
  <c r="M19" i="4" s="1"/>
  <c r="Z19" i="4" s="1"/>
  <c r="K17" i="4"/>
  <c r="M17" i="4" s="1"/>
  <c r="Z17" i="4" s="1"/>
  <c r="K14" i="4"/>
  <c r="M14" i="4" s="1"/>
  <c r="Z14" i="4" s="1"/>
  <c r="K13" i="4"/>
  <c r="K16" i="4"/>
  <c r="M16" i="4" s="1"/>
  <c r="Z16" i="4" s="1"/>
  <c r="K32" i="4"/>
  <c r="Z76" i="2"/>
  <c r="Z68" i="2"/>
  <c r="Z59" i="2"/>
  <c r="Z47" i="2"/>
  <c r="Z35" i="2"/>
  <c r="Z22" i="2"/>
  <c r="Z11" i="2"/>
  <c r="P24" i="2"/>
  <c r="E96" i="1"/>
  <c r="F96" i="1"/>
  <c r="K74" i="2"/>
  <c r="I73" i="2"/>
  <c r="M73" i="2" s="1"/>
  <c r="Z73" i="2" s="1"/>
  <c r="I72" i="2"/>
  <c r="M72" i="2" s="1"/>
  <c r="Z72" i="2" s="1"/>
  <c r="I71" i="2"/>
  <c r="M71" i="2" s="1"/>
  <c r="Z71" i="2" s="1"/>
  <c r="I70" i="2"/>
  <c r="M70" i="2" s="1"/>
  <c r="K66" i="2"/>
  <c r="G65" i="2"/>
  <c r="I65" i="2" s="1"/>
  <c r="M65" i="2" s="1"/>
  <c r="Z65" i="2" s="1"/>
  <c r="G64" i="2"/>
  <c r="I64" i="2" s="1"/>
  <c r="M64" i="2" s="1"/>
  <c r="Z64" i="2" s="1"/>
  <c r="G63" i="2"/>
  <c r="I63" i="2" s="1"/>
  <c r="M63" i="2" s="1"/>
  <c r="Z63" i="2" s="1"/>
  <c r="G62" i="2"/>
  <c r="I62" i="2" s="1"/>
  <c r="M62" i="2" s="1"/>
  <c r="Z62" i="2" s="1"/>
  <c r="G56" i="2"/>
  <c r="I56" i="2" s="1"/>
  <c r="G55" i="2"/>
  <c r="I55" i="2" s="1"/>
  <c r="AB54" i="2"/>
  <c r="G53" i="2"/>
  <c r="I53" i="2" s="1"/>
  <c r="G52" i="2"/>
  <c r="I52" i="2" s="1"/>
  <c r="G51" i="2"/>
  <c r="E51" i="2"/>
  <c r="AB50" i="2"/>
  <c r="R49" i="2"/>
  <c r="T49" i="2" s="1"/>
  <c r="O49" i="2"/>
  <c r="G49" i="2"/>
  <c r="I49" i="2" s="1"/>
  <c r="AB44" i="2"/>
  <c r="AA44" i="2"/>
  <c r="R44" i="2"/>
  <c r="P44" i="2"/>
  <c r="T44" i="2" s="1"/>
  <c r="G44" i="2"/>
  <c r="I44" i="2" s="1"/>
  <c r="AB43" i="2"/>
  <c r="AA43" i="2"/>
  <c r="R43" i="2"/>
  <c r="P43" i="2"/>
  <c r="T43" i="2" s="1"/>
  <c r="V43" i="2" s="1"/>
  <c r="X43" i="2" s="1"/>
  <c r="G43" i="2"/>
  <c r="I43" i="2" s="1"/>
  <c r="AB42" i="2"/>
  <c r="AA42" i="2"/>
  <c r="R42" i="2"/>
  <c r="P42" i="2"/>
  <c r="T42" i="2" s="1"/>
  <c r="G42" i="2"/>
  <c r="I42" i="2" s="1"/>
  <c r="AG41" i="2"/>
  <c r="AI41" i="2" s="1"/>
  <c r="AA41" i="2"/>
  <c r="R41" i="2"/>
  <c r="P41" i="2"/>
  <c r="T41" i="2" s="1"/>
  <c r="V41" i="2" s="1"/>
  <c r="X41" i="2" s="1"/>
  <c r="G41" i="2"/>
  <c r="I41" i="2" s="1"/>
  <c r="AG40" i="2"/>
  <c r="AI40" i="2" s="1"/>
  <c r="AB40" i="2"/>
  <c r="AA40" i="2"/>
  <c r="R40" i="2"/>
  <c r="P40" i="2"/>
  <c r="T40" i="2" s="1"/>
  <c r="G40" i="2"/>
  <c r="I40" i="2" s="1"/>
  <c r="AG39" i="2"/>
  <c r="AI39" i="2" s="1"/>
  <c r="AB39" i="2"/>
  <c r="AA39" i="2"/>
  <c r="R39" i="2"/>
  <c r="P39" i="2"/>
  <c r="T39" i="2" s="1"/>
  <c r="V39" i="2" s="1"/>
  <c r="G39" i="2"/>
  <c r="I39" i="2" s="1"/>
  <c r="AG38" i="2"/>
  <c r="AI38" i="2" s="1"/>
  <c r="AB38" i="2"/>
  <c r="AA38" i="2"/>
  <c r="R38" i="2"/>
  <c r="P38" i="2"/>
  <c r="G38" i="2"/>
  <c r="I38" i="2" s="1"/>
  <c r="AA37" i="2"/>
  <c r="AB37" i="2" s="1"/>
  <c r="R37" i="2"/>
  <c r="P37" i="2"/>
  <c r="G37" i="2"/>
  <c r="I37" i="2" s="1"/>
  <c r="A32" i="2"/>
  <c r="AA31" i="2"/>
  <c r="R31" i="2"/>
  <c r="P31" i="2"/>
  <c r="G31" i="2"/>
  <c r="I31" i="2" s="1"/>
  <c r="AA30" i="2"/>
  <c r="R30" i="2"/>
  <c r="P30" i="2"/>
  <c r="T30" i="2" s="1"/>
  <c r="G30" i="2"/>
  <c r="I30" i="2" s="1"/>
  <c r="AA29" i="2"/>
  <c r="R29" i="2"/>
  <c r="P29" i="2"/>
  <c r="G29" i="2"/>
  <c r="I29" i="2" s="1"/>
  <c r="AA28" i="2"/>
  <c r="R28" i="2"/>
  <c r="P28" i="2"/>
  <c r="T28" i="2" s="1"/>
  <c r="G28" i="2"/>
  <c r="I28" i="2" s="1"/>
  <c r="AA27" i="2"/>
  <c r="R27" i="2"/>
  <c r="P27" i="2"/>
  <c r="G27" i="2"/>
  <c r="I27" i="2" s="1"/>
  <c r="AA26" i="2"/>
  <c r="R26" i="2"/>
  <c r="P26" i="2"/>
  <c r="T26" i="2" s="1"/>
  <c r="G26" i="2"/>
  <c r="I26" i="2" s="1"/>
  <c r="AA25" i="2"/>
  <c r="R25" i="2"/>
  <c r="P25" i="2"/>
  <c r="G25" i="2"/>
  <c r="I25" i="2" s="1"/>
  <c r="AB25" i="2" s="1"/>
  <c r="I24" i="2"/>
  <c r="AB24" i="2" s="1"/>
  <c r="I19" i="2"/>
  <c r="I18" i="2"/>
  <c r="I17" i="2"/>
  <c r="I16" i="2"/>
  <c r="I15" i="2"/>
  <c r="I14" i="2"/>
  <c r="I13" i="2"/>
  <c r="AH12" i="2"/>
  <c r="AH13" i="2" s="1"/>
  <c r="AH14" i="2" s="1"/>
  <c r="AH15" i="2" s="1"/>
  <c r="AH16" i="2" s="1"/>
  <c r="AH17" i="2" s="1"/>
  <c r="AH18" i="2" s="1"/>
  <c r="AH19" i="2" s="1"/>
  <c r="AG24" i="2" s="1"/>
  <c r="AI24" i="2" s="1"/>
  <c r="AD12" i="2"/>
  <c r="AC13" i="2" s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Z24" i="4" l="1"/>
  <c r="M13" i="4"/>
  <c r="K20" i="4"/>
  <c r="K33" i="4"/>
  <c r="M32" i="4"/>
  <c r="Z32" i="4" s="1"/>
  <c r="Z33" i="4" s="1"/>
  <c r="M49" i="4"/>
  <c r="K57" i="4"/>
  <c r="I51" i="2"/>
  <c r="T38" i="2"/>
  <c r="V38" i="2" s="1"/>
  <c r="X38" i="2" s="1"/>
  <c r="T25" i="2"/>
  <c r="V25" i="2" s="1"/>
  <c r="X25" i="2" s="1"/>
  <c r="T29" i="2"/>
  <c r="V29" i="2" s="1"/>
  <c r="X29" i="2" s="1"/>
  <c r="T31" i="2"/>
  <c r="V31" i="2" s="1"/>
  <c r="X31" i="2" s="1"/>
  <c r="T27" i="2"/>
  <c r="V27" i="2" s="1"/>
  <c r="X27" i="2" s="1"/>
  <c r="C32" i="2"/>
  <c r="T37" i="2"/>
  <c r="V37" i="2" s="1"/>
  <c r="T57" i="2"/>
  <c r="V49" i="2"/>
  <c r="V57" i="2" s="1"/>
  <c r="I57" i="2"/>
  <c r="I74" i="2"/>
  <c r="AD13" i="2"/>
  <c r="AC14" i="2" s="1"/>
  <c r="AE14" i="2" s="1"/>
  <c r="T24" i="2"/>
  <c r="V24" i="2" s="1"/>
  <c r="AB15" i="2"/>
  <c r="AB16" i="2"/>
  <c r="G96" i="1"/>
  <c r="AB52" i="2"/>
  <c r="AB14" i="2"/>
  <c r="AB13" i="2"/>
  <c r="AB19" i="2"/>
  <c r="AB17" i="2"/>
  <c r="AB55" i="2"/>
  <c r="AB49" i="2"/>
  <c r="AB53" i="2"/>
  <c r="X39" i="2"/>
  <c r="AB18" i="2"/>
  <c r="AB56" i="2"/>
  <c r="AH24" i="2"/>
  <c r="I20" i="2"/>
  <c r="AE13" i="2"/>
  <c r="V44" i="2"/>
  <c r="X44" i="2" s="1"/>
  <c r="V28" i="2"/>
  <c r="X28" i="2" s="1"/>
  <c r="V26" i="2"/>
  <c r="X26" i="2" s="1"/>
  <c r="I45" i="2"/>
  <c r="M74" i="2"/>
  <c r="Z70" i="2"/>
  <c r="Z74" i="2" s="1"/>
  <c r="AA32" i="2"/>
  <c r="V42" i="2"/>
  <c r="X42" i="2" s="1"/>
  <c r="G61" i="2"/>
  <c r="I61" i="2" s="1"/>
  <c r="V30" i="2"/>
  <c r="X30" i="2" s="1"/>
  <c r="V40" i="2"/>
  <c r="X40" i="2" s="1"/>
  <c r="M20" i="4" l="1"/>
  <c r="Z13" i="4"/>
  <c r="Z20" i="4" s="1"/>
  <c r="K78" i="4"/>
  <c r="K80" i="4" s="1"/>
  <c r="M33" i="4"/>
  <c r="M57" i="4"/>
  <c r="Z49" i="4"/>
  <c r="Z57" i="4" s="1"/>
  <c r="AI14" i="2"/>
  <c r="K14" i="2" s="1"/>
  <c r="M14" i="2" s="1"/>
  <c r="Z14" i="2" s="1"/>
  <c r="T45" i="2"/>
  <c r="AB51" i="2"/>
  <c r="X49" i="2"/>
  <c r="X57" i="2" s="1"/>
  <c r="X24" i="2"/>
  <c r="X33" i="2" s="1"/>
  <c r="T33" i="2"/>
  <c r="AD14" i="2"/>
  <c r="AC15" i="2" s="1"/>
  <c r="AF14" i="2"/>
  <c r="AI13" i="2"/>
  <c r="K13" i="2" s="1"/>
  <c r="M13" i="2" s="1"/>
  <c r="Z13" i="2" s="1"/>
  <c r="AG25" i="2"/>
  <c r="AI25" i="2" s="1"/>
  <c r="AF13" i="2"/>
  <c r="M61" i="2"/>
  <c r="I66" i="2"/>
  <c r="V45" i="2"/>
  <c r="X37" i="2"/>
  <c r="V33" i="2"/>
  <c r="M78" i="4" l="1"/>
  <c r="T78" i="2"/>
  <c r="AH25" i="2"/>
  <c r="AE15" i="2"/>
  <c r="AI15" i="2" s="1"/>
  <c r="K15" i="2" s="1"/>
  <c r="AD15" i="2"/>
  <c r="V78" i="2"/>
  <c r="V80" i="2" s="1"/>
  <c r="X45" i="2"/>
  <c r="X78" i="2" s="1"/>
  <c r="M66" i="2"/>
  <c r="Z61" i="2"/>
  <c r="Z66" i="2" s="1"/>
  <c r="E79" i="4" l="1"/>
  <c r="I79" i="4" s="1"/>
  <c r="Z78" i="4"/>
  <c r="AC16" i="2"/>
  <c r="M15" i="2"/>
  <c r="AF15" i="2"/>
  <c r="AG26" i="2"/>
  <c r="AI26" i="2" s="1"/>
  <c r="P79" i="2"/>
  <c r="T79" i="2" s="1"/>
  <c r="M79" i="4" l="1"/>
  <c r="I80" i="4"/>
  <c r="AH26" i="2"/>
  <c r="AG27" i="2"/>
  <c r="AI27" i="2" s="1"/>
  <c r="Z15" i="2"/>
  <c r="AE16" i="2"/>
  <c r="AF16" i="2" s="1"/>
  <c r="AI16" i="2"/>
  <c r="K16" i="2" s="1"/>
  <c r="AD16" i="2"/>
  <c r="X79" i="2"/>
  <c r="X80" i="2" s="1"/>
  <c r="T80" i="2"/>
  <c r="Z79" i="4" l="1"/>
  <c r="Z80" i="4" s="1"/>
  <c r="M80" i="4"/>
  <c r="M16" i="2"/>
  <c r="AC17" i="2"/>
  <c r="AH27" i="2"/>
  <c r="AG28" i="2" l="1"/>
  <c r="AI28" i="2" s="1"/>
  <c r="AE17" i="2"/>
  <c r="AF17" i="2" s="1"/>
  <c r="AD17" i="2"/>
  <c r="Z16" i="2"/>
  <c r="AC18" i="2" l="1"/>
  <c r="AI17" i="2"/>
  <c r="K17" i="2" s="1"/>
  <c r="AH28" i="2"/>
  <c r="AG29" i="2" l="1"/>
  <c r="AI29" i="2" s="1"/>
  <c r="AE18" i="2"/>
  <c r="AI18" i="2" s="1"/>
  <c r="K18" i="2" s="1"/>
  <c r="AF18" i="2"/>
  <c r="M17" i="2"/>
  <c r="AD18" i="2"/>
  <c r="M18" i="2" l="1"/>
  <c r="Z18" i="2" s="1"/>
  <c r="Z17" i="2"/>
  <c r="AC19" i="2"/>
  <c r="AH29" i="2"/>
  <c r="AE19" i="2" l="1"/>
  <c r="AF19" i="2" s="1"/>
  <c r="AD19" i="2"/>
  <c r="AG30" i="2"/>
  <c r="AI30" i="2" s="1"/>
  <c r="AI19" i="2" l="1"/>
  <c r="K19" i="2" s="1"/>
  <c r="M19" i="2" s="1"/>
  <c r="AH30" i="2"/>
  <c r="AG31" i="2"/>
  <c r="AI31" i="2" s="1"/>
  <c r="AC24" i="2"/>
  <c r="AD24" i="2" s="1"/>
  <c r="K20" i="2" l="1"/>
  <c r="Z19" i="2"/>
  <c r="Z20" i="2" s="1"/>
  <c r="M20" i="2"/>
  <c r="AE24" i="2"/>
  <c r="AF24" i="2"/>
  <c r="K24" i="2" s="1"/>
  <c r="AC25" i="2"/>
  <c r="AH31" i="2"/>
  <c r="AE25" i="2" l="1"/>
  <c r="AF25" i="2" s="1"/>
  <c r="K25" i="2" s="1"/>
  <c r="AD25" i="2"/>
  <c r="AG32" i="2"/>
  <c r="AI32" i="2" s="1"/>
  <c r="M24" i="2"/>
  <c r="M25" i="2" l="1"/>
  <c r="Z25" i="2" s="1"/>
  <c r="Z24" i="2"/>
  <c r="AH32" i="2"/>
  <c r="AC26" i="2"/>
  <c r="AD26" i="2" s="1"/>
  <c r="AC27" i="2" l="1"/>
  <c r="AG37" i="2"/>
  <c r="AI37" i="2" s="1"/>
  <c r="AE26" i="2"/>
  <c r="AF26" i="2" s="1"/>
  <c r="K26" i="2" s="1"/>
  <c r="M26" i="2" l="1"/>
  <c r="AE27" i="2"/>
  <c r="AF27" i="2" s="1"/>
  <c r="K27" i="2" s="1"/>
  <c r="AH37" i="2"/>
  <c r="AD27" i="2"/>
  <c r="M27" i="2" l="1"/>
  <c r="Z27" i="2" s="1"/>
  <c r="AH38" i="2"/>
  <c r="AG42" i="2"/>
  <c r="AI42" i="2" s="1"/>
  <c r="AC28" i="2"/>
  <c r="Z26" i="2"/>
  <c r="AE28" i="2" l="1"/>
  <c r="AF28" i="2" s="1"/>
  <c r="K28" i="2" s="1"/>
  <c r="AD28" i="2"/>
  <c r="AH39" i="2"/>
  <c r="AG43" i="2"/>
  <c r="AI43" i="2" s="1"/>
  <c r="AH40" i="2" l="1"/>
  <c r="AH41" i="2" s="1"/>
  <c r="AH42" i="2" s="1"/>
  <c r="AH43" i="2" s="1"/>
  <c r="AG44" i="2"/>
  <c r="AI44" i="2" s="1"/>
  <c r="AC29" i="2"/>
  <c r="AD29" i="2" s="1"/>
  <c r="M28" i="2"/>
  <c r="AC30" i="2" l="1"/>
  <c r="Z28" i="2"/>
  <c r="AE29" i="2"/>
  <c r="AF29" i="2" s="1"/>
  <c r="K29" i="2" s="1"/>
  <c r="M29" i="2" s="1"/>
  <c r="AH44" i="2"/>
  <c r="Z29" i="2" l="1"/>
  <c r="AG49" i="2"/>
  <c r="AI49" i="2" s="1"/>
  <c r="AE30" i="2"/>
  <c r="AF30" i="2" s="1"/>
  <c r="K30" i="2" s="1"/>
  <c r="M30" i="2" s="1"/>
  <c r="AD30" i="2"/>
  <c r="Z30" i="2" l="1"/>
  <c r="AC31" i="2"/>
  <c r="AD31" i="2" s="1"/>
  <c r="AH49" i="2"/>
  <c r="AG50" i="2" l="1"/>
  <c r="AI50" i="2" s="1"/>
  <c r="AE31" i="2"/>
  <c r="AF31" i="2" s="1"/>
  <c r="K31" i="2" s="1"/>
  <c r="M31" i="2" s="1"/>
  <c r="Z31" i="2" l="1"/>
  <c r="G32" i="2"/>
  <c r="I32" i="2" s="1"/>
  <c r="AH50" i="2"/>
  <c r="AG51" i="2" l="1"/>
  <c r="AI51" i="2" s="1"/>
  <c r="AB32" i="2"/>
  <c r="AC32" i="2"/>
  <c r="I33" i="2"/>
  <c r="I78" i="2" s="1"/>
  <c r="AE32" i="2" l="1"/>
  <c r="AF32" i="2" s="1"/>
  <c r="K32" i="2" s="1"/>
  <c r="AD32" i="2"/>
  <c r="AH51" i="2"/>
  <c r="K33" i="2" l="1"/>
  <c r="M32" i="2"/>
  <c r="AG52" i="2"/>
  <c r="AI52" i="2" s="1"/>
  <c r="AC37" i="2"/>
  <c r="AE37" i="2" l="1"/>
  <c r="AF37" i="2" s="1"/>
  <c r="K37" i="2" s="1"/>
  <c r="Z32" i="2"/>
  <c r="Z33" i="2" s="1"/>
  <c r="M33" i="2"/>
  <c r="AD37" i="2"/>
  <c r="AH52" i="2"/>
  <c r="M37" i="2" l="1"/>
  <c r="AG53" i="2"/>
  <c r="AI53" i="2" s="1"/>
  <c r="AC38" i="2"/>
  <c r="AE38" i="2" l="1"/>
  <c r="AF38" i="2" s="1"/>
  <c r="K38" i="2" s="1"/>
  <c r="AD38" i="2"/>
  <c r="AH53" i="2"/>
  <c r="Z37" i="2"/>
  <c r="M38" i="2" l="1"/>
  <c r="AC39" i="2"/>
  <c r="AD39" i="2" s="1"/>
  <c r="AG54" i="2"/>
  <c r="AI54" i="2" s="1"/>
  <c r="AC40" i="2" l="1"/>
  <c r="AH54" i="2"/>
  <c r="AE39" i="2"/>
  <c r="AF39" i="2" s="1"/>
  <c r="K39" i="2" s="1"/>
  <c r="Z38" i="2"/>
  <c r="M39" i="2" l="1"/>
  <c r="AG55" i="2"/>
  <c r="AI55" i="2" s="1"/>
  <c r="AE40" i="2"/>
  <c r="AF40" i="2" s="1"/>
  <c r="K40" i="2" s="1"/>
  <c r="M40" i="2" s="1"/>
  <c r="Z40" i="2" s="1"/>
  <c r="AD40" i="2"/>
  <c r="AC41" i="2" l="1"/>
  <c r="AD41" i="2" s="1"/>
  <c r="AH55" i="2"/>
  <c r="Z39" i="2"/>
  <c r="AC42" i="2" l="1"/>
  <c r="AG56" i="2"/>
  <c r="AI56" i="2" s="1"/>
  <c r="AE41" i="2"/>
  <c r="AF41" i="2"/>
  <c r="K41" i="2" s="1"/>
  <c r="M41" i="2" l="1"/>
  <c r="AH56" i="2"/>
  <c r="AE42" i="2"/>
  <c r="AF42" i="2" s="1"/>
  <c r="K42" i="2" s="1"/>
  <c r="M42" i="2" s="1"/>
  <c r="Z42" i="2" s="1"/>
  <c r="AD42" i="2"/>
  <c r="AC43" i="2" l="1"/>
  <c r="Z41" i="2"/>
  <c r="AE43" i="2" l="1"/>
  <c r="AF43" i="2" s="1"/>
  <c r="K43" i="2" s="1"/>
  <c r="M43" i="2" s="1"/>
  <c r="AD43" i="2"/>
  <c r="Z43" i="2" l="1"/>
  <c r="AC44" i="2"/>
  <c r="AE44" i="2" l="1"/>
  <c r="AF44" i="2" s="1"/>
  <c r="K44" i="2" s="1"/>
  <c r="AD44" i="2"/>
  <c r="AC49" i="2" l="1"/>
  <c r="M44" i="2"/>
  <c r="K45" i="2"/>
  <c r="Z44" i="2" l="1"/>
  <c r="Z45" i="2" s="1"/>
  <c r="M45" i="2"/>
  <c r="AE49" i="2"/>
  <c r="AF49" i="2" s="1"/>
  <c r="K49" i="2" s="1"/>
  <c r="AD49" i="2"/>
  <c r="M49" i="2" l="1"/>
  <c r="AC50" i="2"/>
  <c r="AE50" i="2" l="1"/>
  <c r="AF50" i="2" s="1"/>
  <c r="AD50" i="2"/>
  <c r="Z49" i="2"/>
  <c r="AC51" i="2" l="1"/>
  <c r="AD51" i="2" s="1"/>
  <c r="AC52" i="2" l="1"/>
  <c r="AE51" i="2"/>
  <c r="AF51" i="2"/>
  <c r="K51" i="2" s="1"/>
  <c r="M51" i="2" l="1"/>
  <c r="AE52" i="2"/>
  <c r="AF52" i="2" s="1"/>
  <c r="K52" i="2" s="1"/>
  <c r="M52" i="2" s="1"/>
  <c r="Z52" i="2" s="1"/>
  <c r="AD52" i="2"/>
  <c r="AC53" i="2" l="1"/>
  <c r="Z51" i="2"/>
  <c r="AE53" i="2" l="1"/>
  <c r="AF53" i="2" s="1"/>
  <c r="K53" i="2" s="1"/>
  <c r="AD53" i="2"/>
  <c r="M53" i="2" l="1"/>
  <c r="AC54" i="2"/>
  <c r="AD54" i="2" s="1"/>
  <c r="AC55" i="2" l="1"/>
  <c r="AE54" i="2"/>
  <c r="AF54" i="2"/>
  <c r="Z53" i="2"/>
  <c r="AE55" i="2" l="1"/>
  <c r="AF55" i="2" s="1"/>
  <c r="K55" i="2" s="1"/>
  <c r="AD55" i="2"/>
  <c r="M55" i="2" l="1"/>
  <c r="AC56" i="2"/>
  <c r="Z55" i="2" l="1"/>
  <c r="AE56" i="2"/>
  <c r="AF56" i="2"/>
  <c r="K56" i="2" s="1"/>
  <c r="AD56" i="2"/>
  <c r="M56" i="2" l="1"/>
  <c r="K57" i="2"/>
  <c r="Z56" i="2" l="1"/>
  <c r="Z57" i="2" s="1"/>
  <c r="M57" i="2"/>
  <c r="M78" i="2" s="1"/>
  <c r="E79" i="2" s="1"/>
  <c r="I79" i="2" s="1"/>
  <c r="K78" i="2"/>
  <c r="K80" i="2" s="1"/>
  <c r="Z78" i="2" l="1"/>
  <c r="M79" i="2" l="1"/>
  <c r="I80" i="2"/>
  <c r="Z79" i="2" l="1"/>
  <c r="Z80" i="2" s="1"/>
  <c r="M80" i="2"/>
</calcChain>
</file>

<file path=xl/sharedStrings.xml><?xml version="1.0" encoding="utf-8"?>
<sst xmlns="http://schemas.openxmlformats.org/spreadsheetml/2006/main" count="979" uniqueCount="197">
  <si>
    <t>Post prod image</t>
  </si>
  <si>
    <t>x</t>
  </si>
  <si>
    <t>Mixeur·euse / technicien·ne audio Senior</t>
  </si>
  <si>
    <t>Archivage LTO</t>
  </si>
  <si>
    <t>DCP</t>
  </si>
  <si>
    <t>Jour</t>
  </si>
  <si>
    <t>Équipement</t>
  </si>
  <si>
    <t xml:space="preserve">Lentille Olympus 14-35 mm F/2.0 </t>
  </si>
  <si>
    <t>DVD-R</t>
  </si>
  <si>
    <t>Blu-Ray</t>
  </si>
  <si>
    <t>Tarif</t>
  </si>
  <si>
    <t>Valeur Résidence ou prix :</t>
  </si>
  <si>
    <t>Honoraires tech. Inclus :</t>
  </si>
  <si>
    <t>Validation</t>
  </si>
  <si>
    <t>Aides programmes</t>
  </si>
  <si>
    <t>Aide residence</t>
  </si>
  <si>
    <t>Solde Res</t>
  </si>
  <si>
    <t>Différence</t>
  </si>
  <si>
    <t>TOTAL AIDE SALLES</t>
  </si>
  <si>
    <t>Aide Tech Res</t>
  </si>
  <si>
    <t>Solde techs</t>
  </si>
  <si>
    <t>TOTAL AIDE TECHS</t>
  </si>
  <si>
    <t>Équipements</t>
  </si>
  <si>
    <t>Qt</t>
  </si>
  <si>
    <t>Durée</t>
  </si>
  <si>
    <t>Payable</t>
  </si>
  <si>
    <t>=</t>
  </si>
  <si>
    <t>-</t>
  </si>
  <si>
    <t>TOTAL LOCATION ÉQUIPEMENTS DE TOURNAGE</t>
  </si>
  <si>
    <t>Salles et équipements</t>
  </si>
  <si>
    <t>Nbre d'heures</t>
  </si>
  <si>
    <t>Studios et équipements</t>
  </si>
  <si>
    <t>+</t>
  </si>
  <si>
    <t>TOTAL AUTRES BESOINS TECHNIQUES</t>
  </si>
  <si>
    <t>GRAND TOTAL</t>
  </si>
  <si>
    <t>John Doe</t>
  </si>
  <si>
    <t>min.</t>
  </si>
  <si>
    <t>Documentaire</t>
  </si>
  <si>
    <t>Pratique :</t>
  </si>
  <si>
    <t>Fiction</t>
  </si>
  <si>
    <t>Expérimental</t>
  </si>
  <si>
    <t>Autre</t>
  </si>
  <si>
    <t>Durée bascule</t>
  </si>
  <si>
    <t>Max</t>
  </si>
  <si>
    <t>Max $</t>
  </si>
  <si>
    <t>Max Sem.</t>
  </si>
  <si>
    <t>Max sem.</t>
  </si>
  <si>
    <t>LONG</t>
  </si>
  <si>
    <r>
      <t xml:space="preserve">This tool is intended to help PRIM members calculate their budget independently.  
It should never be considered as a commitment of PRIM. A more accurate evaluation will be made by PRIM during the booking process. 
</t>
    </r>
    <r>
      <rPr>
        <b/>
        <u/>
        <sz val="10"/>
        <color rgb="FFFF0000"/>
        <rFont val="Arial"/>
        <family val="2"/>
      </rPr>
      <t>Rates from March 1, 2027. Rates subject to change.</t>
    </r>
  </si>
  <si>
    <r>
      <t xml:space="preserve">Support program discounts do not apply if you work with an external technician 
</t>
    </r>
    <r>
      <rPr>
        <b/>
        <i/>
        <sz val="10"/>
        <color rgb="FFFF0000"/>
        <rFont val="Arial"/>
        <family val="2"/>
      </rPr>
      <t>(except image editing rooms, VR room, and sound editing studio)</t>
    </r>
  </si>
  <si>
    <t xml:space="preserve">Support Program: </t>
  </si>
  <si>
    <t>Project Title:</t>
  </si>
  <si>
    <t>Artist's name:</t>
  </si>
  <si>
    <t>Duration of the work:</t>
  </si>
  <si>
    <t>Choose the program from the list</t>
  </si>
  <si>
    <t>Offline editing room (assistance)</t>
  </si>
  <si>
    <t>Offline editing room</t>
  </si>
  <si>
    <t xml:space="preserve">Online editing room - conform, generics, subtitle integration, ... </t>
  </si>
  <si>
    <t xml:space="preserve">Color grading room with 4K projector, 154'' screen </t>
  </si>
  <si>
    <t xml:space="preserve">Color grading room on 65'' OLED screen </t>
  </si>
  <si>
    <t>Exploration in Digital Art (VR)</t>
  </si>
  <si>
    <t>Viewing - Colorization Room (2K projection, 154'' screen)</t>
  </si>
  <si>
    <t>Viewing - Mixing Room (4K projection, 220" screen)</t>
  </si>
  <si>
    <t>Data management fee (flat fee)</t>
  </si>
  <si>
    <t>Sound post production</t>
  </si>
  <si>
    <t>Sound Lab - Recording - Voice, Music, Sound Effects (without accessories)</t>
  </si>
  <si>
    <t>Sound Lab - Sound Exploration</t>
  </si>
  <si>
    <t>Sound editing room / recording booths without control room</t>
  </si>
  <si>
    <t>Cinema mixing studio</t>
  </si>
  <si>
    <t>Music Mixing Studio and Installations (Labo)</t>
  </si>
  <si>
    <t>VR Spatialization</t>
  </si>
  <si>
    <t>Deliverables</t>
  </si>
  <si>
    <t>LTO Archiving</t>
  </si>
  <si>
    <t>LTO archive (less than 2 TB)</t>
  </si>
  <si>
    <t>LTO Archive (2TB+)</t>
  </si>
  <si>
    <t>Medium and Feature Film - Master Print (Minute Rate)</t>
  </si>
  <si>
    <t>Closed captioning surcharge (per language; per-minute rate)</t>
  </si>
  <si>
    <t>Short film and trailer - Master copy (per copy)</t>
  </si>
  <si>
    <t>Subtitling supplement (by language; per copy)</t>
  </si>
  <si>
    <t>Additional Copy (per copy)</t>
  </si>
  <si>
    <t>OTHER SERVICES NOT CURRENTLY USED</t>
  </si>
  <si>
    <t>Sound design and editing (without sound bank)</t>
  </si>
  <si>
    <t>Technicians</t>
  </si>
  <si>
    <t>Colorist</t>
  </si>
  <si>
    <t>Senior Colorist</t>
  </si>
  <si>
    <t>Online Editor</t>
  </si>
  <si>
    <t>Offline editing assistant</t>
  </si>
  <si>
    <t>-- I work my external technician</t>
  </si>
  <si>
    <t>-- I work alone / without a technician</t>
  </si>
  <si>
    <t>Mixer / Audio Technician</t>
  </si>
  <si>
    <t>Senior Mixer / Audio Technician</t>
  </si>
  <si>
    <t>PANASONIC EVA-1 camera (+ tripod + batteries + 2 SDX 128 GB cards)</t>
  </si>
  <si>
    <t>PANASONIC AG-AF 100P camera (+ tripod + batteries)</t>
  </si>
  <si>
    <t>Lens adapter (micro 4/3 to 4/3)</t>
  </si>
  <si>
    <t>Lens adapter (micro 4/3 to NIKON)</t>
  </si>
  <si>
    <t>Canon 16-35mm F/2.8 lens</t>
  </si>
  <si>
    <t>Canon 24-70mm F/2.8 lens</t>
  </si>
  <si>
    <t>Canon 70-200mm F/2.8 lens</t>
  </si>
  <si>
    <t>Atomos Shogun 4K/60p recorder (+ 2 batteries and 2 x 256 GB hard drive)</t>
  </si>
  <si>
    <t>Atomos Samurai recorder (+ 2 batteries and 256 GB hard drive)</t>
  </si>
  <si>
    <t>Shape Shoulder Rig</t>
  </si>
  <si>
    <t>Sachtler tripod</t>
  </si>
  <si>
    <t>Manfrotto tripods</t>
  </si>
  <si>
    <t>Miller 30 tripod</t>
  </si>
  <si>
    <t>Monopod</t>
  </si>
  <si>
    <t>128 GB SDX card</t>
  </si>
  <si>
    <t>Arri Fresnel lighting case 2 X 300 W + 1 X 150 W</t>
  </si>
  <si>
    <t>Lavalier DPA 4060 wireless microphone (+ transmitter / receiver)</t>
  </si>
  <si>
    <t>Sennheiser MKH 60 microphone</t>
  </si>
  <si>
    <t>Perch, zeppelin, fur</t>
  </si>
  <si>
    <t>Sound Devices MixPre-10T</t>
  </si>
  <si>
    <t>Sound Devices MixPre-6 Mixer</t>
  </si>
  <si>
    <t>Insta360 Pro VR Camera + batteries</t>
  </si>
  <si>
    <t>VR headset with LG G4 phone</t>
  </si>
  <si>
    <t>Oculus Go Headset</t>
  </si>
  <si>
    <t>UltraSync One Timecode Generator</t>
  </si>
  <si>
    <t>Ambeo microphone</t>
  </si>
  <si>
    <t>Zoom H3-VR Audio Recorder with Microphone + Windscreen</t>
  </si>
  <si>
    <t>Distribution Media</t>
  </si>
  <si>
    <t>512 GB USB drive</t>
  </si>
  <si>
    <t>4TB hard drive</t>
  </si>
  <si>
    <t>5TB hard drive</t>
  </si>
  <si>
    <t>6TB hard drive</t>
  </si>
  <si>
    <t>LTO 6 Cartridge</t>
  </si>
  <si>
    <t>Non-member rate</t>
  </si>
  <si>
    <t>Member Rate</t>
  </si>
  <si>
    <t>Creation Assistance</t>
  </si>
  <si>
    <t>ECHOES Creation Assistance</t>
  </si>
  <si>
    <t>ECHOES Creation Assistance with ECHOES +</t>
  </si>
  <si>
    <t>Doc at risk</t>
  </si>
  <si>
    <t>Research and Exploration</t>
  </si>
  <si>
    <t>Organizations Assistance</t>
  </si>
  <si>
    <t>Distribution Assistance</t>
  </si>
  <si>
    <t>Residency and Award</t>
  </si>
  <si>
    <t>Settings for ECHOS residences</t>
  </si>
  <si>
    <t>SHORT</t>
  </si>
  <si>
    <t>Offline Editor Assistant</t>
  </si>
  <si>
    <t>less than 2 TB</t>
  </si>
  <si>
    <t>2TB+</t>
  </si>
  <si>
    <t>Units</t>
  </si>
  <si>
    <t>Day</t>
  </si>
  <si>
    <t>Weekend</t>
  </si>
  <si>
    <t>Week</t>
  </si>
  <si>
    <t>Month</t>
  </si>
  <si>
    <t>Rate</t>
  </si>
  <si>
    <t>Rate after discount</t>
  </si>
  <si>
    <t>Discount</t>
  </si>
  <si>
    <t>ESTIMATING TECHNICAL REQUIREMENTS</t>
  </si>
  <si>
    <t>FILMING EQUIPMENT RENTAL</t>
  </si>
  <si>
    <t>Equipment</t>
  </si>
  <si>
    <r>
      <rPr>
        <sz val="10"/>
        <color theme="0"/>
        <rFont val="Arial Black"/>
        <family val="2"/>
      </rPr>
      <t>PRIM Technician Choice</t>
    </r>
    <r>
      <rPr>
        <sz val="8"/>
        <color theme="0"/>
        <rFont val="Arial Black"/>
        <family val="2"/>
      </rPr>
      <t xml:space="preserve">
</t>
    </r>
    <r>
      <rPr>
        <b/>
        <sz val="8"/>
        <color theme="0"/>
        <rFont val="Arial"/>
        <family val="2"/>
      </rPr>
      <t>This choice has an impact on the discount (PRIM Support)</t>
    </r>
  </si>
  <si>
    <t>Number of hours</t>
  </si>
  <si>
    <t>Costs</t>
  </si>
  <si>
    <t>PRIM Support</t>
  </si>
  <si>
    <t>PRIM Technicians</t>
  </si>
  <si>
    <t>SOUND POST-PRODUCTION</t>
  </si>
  <si>
    <t>Studios and equipements</t>
  </si>
  <si>
    <t>Rooms and equipments</t>
  </si>
  <si>
    <t>Exports and digitalization</t>
  </si>
  <si>
    <t>OTHER SERVICES</t>
  </si>
  <si>
    <t>To be completed manually</t>
  </si>
  <si>
    <t>TOTAL DISTRIBUTION MEDIA</t>
  </si>
  <si>
    <t>TOTAL EXPORTS AND COPIES</t>
  </si>
  <si>
    <t>EXPORTS AND COPIES</t>
  </si>
  <si>
    <t>TOTAL SOUND POST-PRODUCTION</t>
  </si>
  <si>
    <t>TOTAL IMAGE POST-PRODUCTION</t>
  </si>
  <si>
    <t>IMAGE POST-PRODUCTION</t>
  </si>
  <si>
    <t>TOTALS</t>
  </si>
  <si>
    <t>Subtotal</t>
  </si>
  <si>
    <t>Administration Fees (10%)</t>
  </si>
  <si>
    <t>Amount to be reported in the application form ↑</t>
  </si>
  <si>
    <t>Video Technician (Exports)</t>
  </si>
  <si>
    <t>Included</t>
  </si>
  <si>
    <t>EXAMPLE - DO NOT USE THIS TABLE</t>
  </si>
  <si>
    <t xml:space="preserve">
Help filling out the form</t>
  </si>
  <si>
    <r>
      <rPr>
        <b/>
        <sz val="11"/>
        <color rgb="FFFF0000"/>
        <rFont val="Arial"/>
        <family val="2"/>
      </rPr>
      <t>1.</t>
    </r>
    <r>
      <rPr>
        <sz val="11"/>
        <color theme="1"/>
        <rFont val="Arial"/>
        <family val="2"/>
      </rPr>
      <t xml:space="preserve"> Choose the support program and </t>
    </r>
    <r>
      <rPr>
        <b/>
        <sz val="11"/>
        <color rgb="FFFF0000"/>
        <rFont val="Arial"/>
        <family val="2"/>
      </rPr>
      <t>2</t>
    </r>
    <r>
      <rPr>
        <sz val="11"/>
        <color theme="1"/>
        <rFont val="Arial"/>
        <family val="2"/>
      </rPr>
      <t xml:space="preserve">. Indicate the duration of the work	</t>
    </r>
  </si>
  <si>
    <r>
      <rPr>
        <b/>
        <sz val="11"/>
        <color rgb="FFFF0000"/>
        <rFont val="Arial"/>
        <family val="2"/>
      </rPr>
      <t>3.</t>
    </r>
    <r>
      <rPr>
        <sz val="11"/>
        <color theme="1"/>
        <rFont val="Arial"/>
        <family val="2"/>
      </rPr>
      <t xml:space="preserve"> Choose the rooms or equipment you want from column A. </t>
    </r>
  </si>
  <si>
    <r>
      <rPr>
        <b/>
        <sz val="11"/>
        <color rgb="FFFF0000"/>
        <rFont val="Arial"/>
        <family val="2"/>
      </rPr>
      <t>4.</t>
    </r>
    <r>
      <rPr>
        <sz val="11"/>
        <color theme="1"/>
        <rFont val="Arial"/>
        <family val="2"/>
      </rPr>
      <t xml:space="preserve"> Choose in column B which technician you want to work with</t>
    </r>
  </si>
  <si>
    <t>This choice is essential because it determines the applicable discount.</t>
  </si>
  <si>
    <r>
      <rPr>
        <b/>
        <sz val="11"/>
        <color rgb="FFFF0000"/>
        <rFont val="Arial"/>
        <family val="2"/>
      </rPr>
      <t>5.</t>
    </r>
    <r>
      <rPr>
        <sz val="11"/>
        <color theme="1"/>
        <rFont val="Arial"/>
        <family val="2"/>
      </rPr>
      <t xml:space="preserve"> Indicate the quantities or number of hours you estimate you will need (col. C and D)</t>
    </r>
  </si>
  <si>
    <t>The costs of renting rooms and equipment will be calculated in columns G to M and those associated with technicians' fees in columns O to X.</t>
  </si>
  <si>
    <t>Caméra KIT 1 (Panasonic EVA-1 camera + 3 Canon lenses + Rig Shape + Atomos Shogun recorder + Sachtler tripod + batteries + 2 x 128 GB cards)</t>
  </si>
  <si>
    <t>Shooting audio KIT (Sound Devices MixPre-10T + Sennheiser MKH 60 Microphone + zeppelin + fur + boom + 2 Lavalier microphones)</t>
  </si>
  <si>
    <r>
      <t xml:space="preserve">Caméra KIT 1 </t>
    </r>
    <r>
      <rPr>
        <i/>
        <sz val="10"/>
        <color theme="0"/>
        <rFont val="Arial"/>
        <family val="2"/>
      </rPr>
      <t>(Panasonic EVA-1 camera + 3 Canon lenses + Rig Shape + Atomos Shogun recorder + Sachtler tripod + batteries + 2 x 128 GB cards)</t>
    </r>
  </si>
  <si>
    <r>
      <t xml:space="preserve">Caméra KIT 2 </t>
    </r>
    <r>
      <rPr>
        <i/>
        <sz val="10"/>
        <color theme="0"/>
        <rFont val="Arial"/>
        <family val="2"/>
      </rPr>
      <t>(Panasonic AG-AF 100P Camera + Olympus 14-35 mm F/2.0 lens + 4/3 adapter + ATOMOS Samurai recorder + Manfrotto Tripod + batteries )</t>
    </r>
  </si>
  <si>
    <r>
      <t xml:space="preserve">Shooting audio KIT </t>
    </r>
    <r>
      <rPr>
        <i/>
        <sz val="10"/>
        <color theme="0"/>
        <rFont val="Arial"/>
        <family val="2"/>
      </rPr>
      <t>(Sound Devices MixPre-10T + Sennheiser MKH 60 Microphone + zeppelin + fur + boom + 2 Lavalier microphones)</t>
    </r>
  </si>
  <si>
    <r>
      <t xml:space="preserve">Free sound KIT </t>
    </r>
    <r>
      <rPr>
        <sz val="10"/>
        <color theme="0"/>
        <rFont val="Arial"/>
        <family val="2"/>
      </rPr>
      <t>(</t>
    </r>
    <r>
      <rPr>
        <i/>
        <sz val="10"/>
        <color theme="0"/>
        <rFont val="Arial"/>
        <family val="2"/>
      </rPr>
      <t>Sound Devices MixPre-6 mixer + Sennheiser MKH 60 microphone + zeppelin + fur + pole)</t>
    </r>
  </si>
  <si>
    <r>
      <t xml:space="preserve">Complete VR KIT </t>
    </r>
    <r>
      <rPr>
        <i/>
        <sz val="10"/>
        <color theme="0"/>
        <rFont val="Arial"/>
        <family val="2"/>
      </rPr>
      <t>(Insta360 Pro camera + batteries + tripod + VR headset + LG G4 phone + UltraSync One 
Sound Devices MixPre-10T mixer + 2 Lavalier microphones + Ambeo microphone + monopod )</t>
    </r>
  </si>
  <si>
    <r>
      <t xml:space="preserve">VR Camera KIT </t>
    </r>
    <r>
      <rPr>
        <sz val="10"/>
        <color theme="0"/>
        <rFont val="Arial"/>
        <family val="2"/>
      </rPr>
      <t>(</t>
    </r>
    <r>
      <rPr>
        <i/>
        <sz val="10"/>
        <color theme="0"/>
        <rFont val="Arial"/>
        <family val="2"/>
      </rPr>
      <t>Insta360 Pro camera + batteries + tripod + VR headset + LG G4 phone)</t>
    </r>
  </si>
  <si>
    <r>
      <t xml:space="preserve">VR SOUND AMBIANCE KIT </t>
    </r>
    <r>
      <rPr>
        <i/>
        <sz val="10"/>
        <color theme="0"/>
        <rFont val="Arial"/>
        <family val="2"/>
      </rPr>
      <t>(Sound Devices MixPr-6 mixer + Ambeo microphone + monopod)</t>
    </r>
  </si>
  <si>
    <t>Equipements</t>
  </si>
  <si>
    <t>Rooms, studios and equipements</t>
  </si>
  <si>
    <t>Duration</t>
  </si>
  <si>
    <t>DIGITAL MEDIA</t>
  </si>
  <si>
    <t>Media</t>
  </si>
  <si>
    <t>Tech PRIM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</si>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</sst>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_ * #,##0_)\ &quot;$&quot;_ ;_ * \(#,##0\)\ &quot;$&quot;_ ;_ * &quot;-&quot;??_)\ &quot;$&quot;_ ;_ @_ "/>
    <numFmt numFmtId="165" formatCode="#,##0.00\ &quot;$&quot;"/>
    <numFmt numFmtId="166" formatCode=";;;"/>
  </numFmts>
  <fonts count="6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0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</font>
    <font>
      <i/>
      <sz val="11"/>
      <color theme="1"/>
      <name val="Arial"/>
      <family val="2"/>
    </font>
    <font>
      <sz val="9"/>
      <color theme="0"/>
      <name val="Arial"/>
      <family val="2"/>
    </font>
    <font>
      <b/>
      <sz val="20"/>
      <color theme="1"/>
      <name val="Arial Black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  <font>
      <b/>
      <sz val="11"/>
      <color theme="0"/>
      <name val="Arial"/>
      <family val="2"/>
    </font>
    <font>
      <sz val="12"/>
      <color theme="0"/>
      <name val="Arial Black"/>
      <family val="2"/>
    </font>
    <font>
      <b/>
      <sz val="10"/>
      <color theme="0"/>
      <name val="Arial Black"/>
      <family val="2"/>
    </font>
    <font>
      <sz val="8"/>
      <color theme="0"/>
      <name val="Arial Black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color theme="0"/>
      <name val="Arial Black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 Black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0"/>
      <name val="Arial"/>
      <family val="2"/>
    </font>
    <font>
      <b/>
      <sz val="9"/>
      <color theme="0"/>
      <name val="Arial Black"/>
      <family val="2"/>
    </font>
    <font>
      <b/>
      <sz val="11"/>
      <color theme="0"/>
      <name val="Arial Black"/>
      <family val="2"/>
    </font>
    <font>
      <sz val="11"/>
      <color theme="0"/>
      <name val="Arial Black"/>
      <family val="2"/>
    </font>
    <font>
      <b/>
      <sz val="12"/>
      <color theme="0"/>
      <name val="Arial"/>
      <family val="2"/>
    </font>
    <font>
      <b/>
      <i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rgb="FFC00000"/>
      <name val="Arial"/>
      <family val="2"/>
    </font>
    <font>
      <sz val="10"/>
      <color rgb="FFC00000"/>
      <name val="Arial"/>
      <family val="2"/>
    </font>
    <font>
      <sz val="11"/>
      <color rgb="FFC00000"/>
      <name val="Calibri"/>
      <family val="2"/>
    </font>
    <font>
      <sz val="8"/>
      <color theme="1"/>
      <name val="Arial Black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11"/>
      <name val="Arial Black"/>
      <family val="2"/>
    </font>
    <font>
      <sz val="11"/>
      <name val="Arial Black"/>
      <family val="2"/>
    </font>
    <font>
      <sz val="9"/>
      <color theme="0"/>
      <name val="Arial Black"/>
      <family val="2"/>
    </font>
    <font>
      <sz val="9"/>
      <name val="Arial Black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 Black"/>
      <family val="2"/>
    </font>
    <font>
      <i/>
      <u/>
      <sz val="11"/>
      <color theme="1"/>
      <name val="Arial"/>
      <family val="2"/>
    </font>
    <font>
      <b/>
      <sz val="18"/>
      <color rgb="FFFF0000"/>
      <name val="Arial Black"/>
      <family val="2"/>
    </font>
    <font>
      <sz val="11"/>
      <color theme="0"/>
      <name val="Calibri"/>
      <family val="2"/>
      <scheme val="minor"/>
    </font>
    <font>
      <i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b/>
      <sz val="11"/>
      <color theme="0"/>
      <name val="Calibri"/>
      <family val="2"/>
    </font>
    <font>
      <b/>
      <u/>
      <sz val="10"/>
      <color rgb="FFFF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2E9F7"/>
        <bgColor rgb="FFF2E9F7"/>
      </patternFill>
    </fill>
    <fill>
      <patternFill patternType="solid">
        <fgColor rgb="FFD6E3BC"/>
        <bgColor rgb="FFD6E3BC"/>
      </patternFill>
    </fill>
    <fill>
      <patternFill patternType="solid">
        <fgColor rgb="FF0070C0"/>
        <bgColor rgb="FF0070C0"/>
      </patternFill>
    </fill>
    <fill>
      <patternFill patternType="solid">
        <fgColor rgb="FFCCDFEE"/>
        <bgColor rgb="FFCCDFEE"/>
      </patternFill>
    </fill>
    <fill>
      <patternFill patternType="solid">
        <fgColor rgb="FFACC4D8"/>
        <bgColor rgb="FFACC4D8"/>
      </patternFill>
    </fill>
    <fill>
      <patternFill patternType="solid">
        <fgColor rgb="FF005A9E"/>
        <bgColor rgb="FF005A9E"/>
      </patternFill>
    </fill>
    <fill>
      <patternFill patternType="solid">
        <fgColor rgb="FFEB4B4B"/>
        <bgColor rgb="FFEB4B4B"/>
      </patternFill>
    </fill>
    <fill>
      <patternFill patternType="solid">
        <fgColor rgb="FFFEDEDE"/>
        <bgColor rgb="FFFEDEDE"/>
      </patternFill>
    </fill>
    <fill>
      <patternFill patternType="solid">
        <fgColor rgb="FFF9A5A5"/>
        <bgColor rgb="FFF9A5A5"/>
      </patternFill>
    </fill>
    <fill>
      <patternFill patternType="solid">
        <fgColor rgb="FFC00000"/>
        <bgColor rgb="FFC00000"/>
      </patternFill>
    </fill>
    <fill>
      <patternFill patternType="solid">
        <fgColor rgb="FFD7B964"/>
        <bgColor rgb="FFD7B964"/>
      </patternFill>
    </fill>
    <fill>
      <patternFill patternType="solid">
        <fgColor rgb="FFFFFFE7"/>
        <bgColor rgb="FFFFFFE7"/>
      </patternFill>
    </fill>
    <fill>
      <patternFill patternType="solid">
        <fgColor rgb="FFFFEFC3"/>
        <bgColor rgb="FFFFEFC3"/>
      </patternFill>
    </fill>
    <fill>
      <patternFill patternType="solid">
        <fgColor rgb="FFC39D33"/>
        <bgColor rgb="FFC39D33"/>
      </patternFill>
    </fill>
    <fill>
      <patternFill patternType="solid">
        <fgColor rgb="FFC3AAD2"/>
        <bgColor rgb="FFC3AAD2"/>
      </patternFill>
    </fill>
    <fill>
      <patternFill patternType="solid">
        <fgColor rgb="FFFFFFFF"/>
        <bgColor rgb="FFFFFFFF"/>
      </patternFill>
    </fill>
    <fill>
      <patternFill patternType="solid">
        <fgColor rgb="FFDDCDE7"/>
        <bgColor rgb="FFDDCDE7"/>
      </patternFill>
    </fill>
    <fill>
      <patternFill patternType="solid">
        <fgColor rgb="FFB191C5"/>
        <bgColor rgb="FFB191C5"/>
      </patternFill>
    </fill>
    <fill>
      <patternFill patternType="solid">
        <fgColor rgb="FF9BB4C8"/>
        <bgColor rgb="FF9BB4C8"/>
      </patternFill>
    </fill>
    <fill>
      <patternFill patternType="solid">
        <fgColor rgb="FFBED4E6"/>
        <bgColor rgb="FFBED4E6"/>
      </patternFill>
    </fill>
    <fill>
      <patternFill patternType="solid">
        <fgColor rgb="FFE8F1F8"/>
        <bgColor rgb="FFE8F1F8"/>
      </patternFill>
    </fill>
    <fill>
      <patternFill patternType="solid">
        <fgColor rgb="FF799AB5"/>
        <bgColor rgb="FF799AB5"/>
      </patternFill>
    </fill>
    <fill>
      <patternFill patternType="solid">
        <fgColor rgb="FFAAC56D"/>
        <bgColor rgb="FFAAC56D"/>
      </patternFill>
    </fill>
    <fill>
      <patternFill patternType="solid">
        <fgColor rgb="FFEAF1DD"/>
        <bgColor rgb="FFEAF1DD"/>
      </patternFill>
    </fill>
    <fill>
      <patternFill patternType="solid">
        <fgColor rgb="FF76923C"/>
        <bgColor rgb="FF76923C"/>
      </patternFill>
    </fill>
    <fill>
      <patternFill patternType="solid">
        <fgColor rgb="FF3F3F3F"/>
        <bgColor rgb="FF3F3F3F"/>
      </patternFill>
    </fill>
    <fill>
      <patternFill patternType="solid">
        <fgColor rgb="FFBFBFBF"/>
        <bgColor rgb="FFBFBFBF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E7"/>
        <bgColor rgb="FFFEDEDE"/>
      </patternFill>
    </fill>
    <fill>
      <patternFill patternType="solid">
        <fgColor rgb="FFFFEFC3"/>
        <bgColor rgb="FFFEDEDE"/>
      </patternFill>
    </fill>
    <fill>
      <patternFill patternType="solid">
        <fgColor theme="0"/>
        <bgColor rgb="FFFFFFFF"/>
      </patternFill>
    </fill>
    <fill>
      <patternFill patternType="solid">
        <fgColor rgb="FFD7B964"/>
        <bgColor rgb="FFEB4B4B"/>
      </patternFill>
    </fill>
  </fills>
  <borders count="6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/>
      <bottom style="double">
        <color indexed="64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double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44" fontId="54" fillId="0" borderId="0" applyFont="0" applyFill="0" applyBorder="0" applyAlignment="0" applyProtection="0"/>
  </cellStyleXfs>
  <cellXfs count="569">
    <xf numFmtId="0" fontId="0" fillId="0" borderId="0" xfId="0"/>
    <xf numFmtId="0" fontId="5" fillId="8" borderId="27" xfId="0" applyFont="1" applyFill="1" applyBorder="1" applyAlignment="1" applyProtection="1">
      <alignment horizontal="center" vertical="center"/>
      <protection locked="0"/>
    </xf>
    <xf numFmtId="0" fontId="5" fillId="9" borderId="27" xfId="0" applyFont="1" applyFill="1" applyBorder="1" applyAlignment="1" applyProtection="1">
      <alignment horizontal="center" vertical="center"/>
      <protection locked="0"/>
    </xf>
    <xf numFmtId="0" fontId="5" fillId="8" borderId="31" xfId="0" applyFont="1" applyFill="1" applyBorder="1" applyAlignment="1" applyProtection="1">
      <alignment horizontal="center" vertical="center"/>
      <protection locked="0"/>
    </xf>
    <xf numFmtId="0" fontId="5" fillId="12" borderId="12" xfId="0" applyFont="1" applyFill="1" applyBorder="1" applyAlignment="1" applyProtection="1">
      <alignment horizontal="left" vertical="top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5" fillId="16" borderId="12" xfId="0" applyFont="1" applyFill="1" applyBorder="1" applyAlignment="1" applyProtection="1">
      <alignment horizontal="left" vertical="top" wrapText="1" readingOrder="1"/>
      <protection locked="0"/>
    </xf>
    <xf numFmtId="0" fontId="5" fillId="17" borderId="12" xfId="0" applyFont="1" applyFill="1" applyBorder="1" applyAlignment="1" applyProtection="1">
      <alignment horizontal="left" vertical="top" wrapText="1" readingOrder="1"/>
      <protection locked="0"/>
    </xf>
    <xf numFmtId="0" fontId="5" fillId="17" borderId="28" xfId="0" applyFont="1" applyFill="1" applyBorder="1" applyAlignment="1" applyProtection="1">
      <alignment horizontal="left" vertical="top" wrapText="1" readingOrder="1"/>
      <protection locked="0"/>
    </xf>
    <xf numFmtId="0" fontId="4" fillId="5" borderId="37" xfId="0" applyFont="1" applyFill="1" applyBorder="1" applyAlignment="1" applyProtection="1">
      <alignment horizontal="center"/>
      <protection locked="0"/>
    </xf>
    <xf numFmtId="44" fontId="4" fillId="28" borderId="2" xfId="0" applyNumberFormat="1" applyFont="1" applyFill="1" applyBorder="1" applyAlignment="1" applyProtection="1">
      <alignment horizontal="center" vertical="center" shrinkToFit="1"/>
      <protection locked="0"/>
    </xf>
    <xf numFmtId="44" fontId="4" fillId="6" borderId="2" xfId="0" applyNumberFormat="1" applyFont="1" applyFill="1" applyBorder="1" applyAlignment="1" applyProtection="1">
      <alignment horizontal="center" vertical="center" shrinkToFit="1"/>
      <protection locked="0"/>
    </xf>
    <xf numFmtId="44" fontId="4" fillId="6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0" fontId="8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8" fillId="0" borderId="6" xfId="0" applyFont="1" applyBorder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7" xfId="0" applyFont="1" applyBorder="1" applyAlignment="1" applyProtection="1">
      <alignment horizontal="right"/>
      <protection hidden="1"/>
    </xf>
    <xf numFmtId="0" fontId="8" fillId="0" borderId="8" xfId="0" applyFont="1" applyBorder="1" applyProtection="1">
      <protection hidden="1"/>
    </xf>
    <xf numFmtId="0" fontId="2" fillId="0" borderId="0" xfId="0" applyFont="1" applyProtection="1">
      <protection hidden="1"/>
    </xf>
    <xf numFmtId="0" fontId="7" fillId="0" borderId="8" xfId="0" applyFont="1" applyBorder="1" applyAlignment="1" applyProtection="1">
      <alignment vertical="center"/>
      <protection hidden="1"/>
    </xf>
    <xf numFmtId="0" fontId="36" fillId="0" borderId="0" xfId="1" applyProtection="1">
      <protection hidden="1"/>
    </xf>
    <xf numFmtId="0" fontId="2" fillId="0" borderId="8" xfId="0" applyFont="1" applyBorder="1" applyProtection="1">
      <protection hidden="1"/>
    </xf>
    <xf numFmtId="0" fontId="16" fillId="3" borderId="16" xfId="0" applyFont="1" applyFill="1" applyBorder="1" applyProtection="1">
      <protection hidden="1"/>
    </xf>
    <xf numFmtId="0" fontId="15" fillId="0" borderId="15" xfId="0" applyFont="1" applyBorder="1" applyAlignment="1" applyProtection="1">
      <alignment wrapText="1"/>
      <protection hidden="1"/>
    </xf>
    <xf numFmtId="0" fontId="16" fillId="3" borderId="2" xfId="0" applyFont="1" applyFill="1" applyBorder="1" applyProtection="1">
      <protection hidden="1"/>
    </xf>
    <xf numFmtId="0" fontId="6" fillId="0" borderId="8" xfId="0" applyFont="1" applyBorder="1" applyAlignment="1" applyProtection="1">
      <alignment vertical="center"/>
      <protection hidden="1"/>
    </xf>
    <xf numFmtId="0" fontId="8" fillId="0" borderId="10" xfId="0" applyFont="1" applyBorder="1" applyProtection="1">
      <protection hidden="1"/>
    </xf>
    <xf numFmtId="0" fontId="8" fillId="3" borderId="17" xfId="0" applyFont="1" applyFill="1" applyBorder="1" applyProtection="1">
      <protection hidden="1"/>
    </xf>
    <xf numFmtId="0" fontId="8" fillId="3" borderId="18" xfId="0" applyFont="1" applyFill="1" applyBorder="1" applyProtection="1"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7" fillId="3" borderId="2" xfId="0" applyFont="1" applyFill="1" applyBorder="1" applyAlignment="1" applyProtection="1">
      <alignment horizontal="right"/>
      <protection hidden="1"/>
    </xf>
    <xf numFmtId="0" fontId="7" fillId="3" borderId="2" xfId="0" applyFont="1" applyFill="1" applyBorder="1" applyAlignment="1" applyProtection="1">
      <alignment horizontal="left" wrapText="1"/>
      <protection hidden="1"/>
    </xf>
    <xf numFmtId="0" fontId="19" fillId="7" borderId="19" xfId="0" applyFont="1" applyFill="1" applyBorder="1" applyAlignment="1" applyProtection="1">
      <alignment horizontal="left" vertical="center"/>
      <protection hidden="1"/>
    </xf>
    <xf numFmtId="0" fontId="16" fillId="7" borderId="20" xfId="0" applyFont="1" applyFill="1" applyBorder="1" applyAlignment="1" applyProtection="1">
      <alignment vertical="center"/>
      <protection hidden="1"/>
    </xf>
    <xf numFmtId="0" fontId="16" fillId="3" borderId="2" xfId="0" applyFont="1" applyFill="1" applyBorder="1" applyAlignment="1" applyProtection="1">
      <alignment horizontal="center" vertical="center" wrapText="1"/>
      <protection hidden="1"/>
    </xf>
    <xf numFmtId="0" fontId="20" fillId="7" borderId="12" xfId="0" applyFont="1" applyFill="1" applyBorder="1" applyAlignment="1" applyProtection="1">
      <alignment horizontal="left" vertical="center"/>
      <protection hidden="1"/>
    </xf>
    <xf numFmtId="0" fontId="16" fillId="7" borderId="2" xfId="0" applyFont="1" applyFill="1" applyBorder="1" applyAlignment="1" applyProtection="1">
      <alignment horizontal="center" vertical="center"/>
      <protection hidden="1"/>
    </xf>
    <xf numFmtId="0" fontId="16" fillId="7" borderId="16" xfId="0" applyFont="1" applyFill="1" applyBorder="1" applyAlignment="1" applyProtection="1">
      <alignment horizontal="center" vertical="center"/>
      <protection hidden="1"/>
    </xf>
    <xf numFmtId="0" fontId="10" fillId="7" borderId="12" xfId="0" applyFont="1" applyFill="1" applyBorder="1" applyAlignment="1" applyProtection="1">
      <alignment horizontal="left" vertical="center" wrapText="1"/>
      <protection hidden="1"/>
    </xf>
    <xf numFmtId="0" fontId="16" fillId="7" borderId="2" xfId="0" applyFont="1" applyFill="1" applyBorder="1" applyAlignment="1" applyProtection="1">
      <alignment horizontal="center" vertical="center" wrapText="1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44" fontId="22" fillId="3" borderId="2" xfId="0" applyNumberFormat="1" applyFont="1" applyFill="1" applyBorder="1" applyAlignment="1" applyProtection="1">
      <alignment horizontal="center" vertical="center"/>
      <protection hidden="1"/>
    </xf>
    <xf numFmtId="44" fontId="22" fillId="3" borderId="2" xfId="0" quotePrefix="1" applyNumberFormat="1" applyFont="1" applyFill="1" applyBorder="1" applyAlignment="1" applyProtection="1">
      <alignment horizontal="center" vertical="center"/>
      <protection hidden="1"/>
    </xf>
    <xf numFmtId="44" fontId="4" fillId="3" borderId="2" xfId="0" applyNumberFormat="1" applyFont="1" applyFill="1" applyBorder="1" applyAlignment="1" applyProtection="1">
      <alignment horizontal="center" vertical="center"/>
      <protection hidden="1"/>
    </xf>
    <xf numFmtId="44" fontId="4" fillId="3" borderId="2" xfId="0" quotePrefix="1" applyNumberFormat="1" applyFont="1" applyFill="1" applyBorder="1" applyAlignment="1" applyProtection="1">
      <alignment horizontal="center" vertical="center"/>
      <protection hidden="1"/>
    </xf>
    <xf numFmtId="44" fontId="7" fillId="3" borderId="16" xfId="0" applyNumberFormat="1" applyFont="1" applyFill="1" applyBorder="1" applyAlignment="1" applyProtection="1">
      <alignment horizontal="center" vertical="center"/>
      <protection hidden="1"/>
    </xf>
    <xf numFmtId="0" fontId="5" fillId="3" borderId="12" xfId="0" applyFont="1" applyFill="1" applyBorder="1" applyAlignment="1" applyProtection="1">
      <alignment horizontal="left" vertical="top" wrapText="1" readingOrder="1"/>
      <protection hidden="1"/>
    </xf>
    <xf numFmtId="0" fontId="4" fillId="3" borderId="2" xfId="0" applyFont="1" applyFill="1" applyBorder="1" applyAlignment="1" applyProtection="1">
      <alignment horizontal="center" vertical="center" shrinkToFit="1"/>
      <protection hidden="1"/>
    </xf>
    <xf numFmtId="44" fontId="4" fillId="3" borderId="2" xfId="0" applyNumberFormat="1" applyFont="1" applyFill="1" applyBorder="1" applyAlignment="1" applyProtection="1">
      <alignment horizontal="center" vertical="center" shrinkToFit="1"/>
      <protection hidden="1"/>
    </xf>
    <xf numFmtId="44" fontId="22" fillId="3" borderId="2" xfId="0" applyNumberFormat="1" applyFont="1" applyFill="1" applyBorder="1" applyAlignment="1" applyProtection="1">
      <alignment horizontal="center" vertical="center" shrinkToFit="1"/>
      <protection hidden="1"/>
    </xf>
    <xf numFmtId="44" fontId="7" fillId="3" borderId="16" xfId="0" applyNumberFormat="1" applyFont="1" applyFill="1" applyBorder="1" applyAlignment="1" applyProtection="1">
      <alignment horizontal="center" vertical="center" shrinkToFit="1"/>
      <protection hidden="1"/>
    </xf>
    <xf numFmtId="44" fontId="23" fillId="3" borderId="46" xfId="0" applyNumberFormat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 applyAlignment="1" applyProtection="1">
      <alignment shrinkToFit="1"/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44" fontId="22" fillId="4" borderId="2" xfId="0" applyNumberFormat="1" applyFont="1" applyFill="1" applyBorder="1" applyAlignment="1" applyProtection="1">
      <alignment horizontal="center" vertical="center"/>
      <protection hidden="1"/>
    </xf>
    <xf numFmtId="44" fontId="4" fillId="4" borderId="2" xfId="0" applyNumberFormat="1" applyFont="1" applyFill="1" applyBorder="1" applyAlignment="1" applyProtection="1">
      <alignment horizontal="center" vertical="center"/>
      <protection hidden="1"/>
    </xf>
    <xf numFmtId="44" fontId="4" fillId="4" borderId="2" xfId="0" quotePrefix="1" applyNumberFormat="1" applyFont="1" applyFill="1" applyBorder="1" applyAlignment="1" applyProtection="1">
      <alignment horizontal="center" vertical="center"/>
      <protection hidden="1"/>
    </xf>
    <xf numFmtId="44" fontId="7" fillId="4" borderId="16" xfId="0" applyNumberFormat="1" applyFont="1" applyFill="1" applyBorder="1" applyAlignment="1" applyProtection="1">
      <alignment horizontal="center" vertical="center"/>
      <protection hidden="1"/>
    </xf>
    <xf numFmtId="44" fontId="23" fillId="4" borderId="46" xfId="0" applyNumberFormat="1" applyFont="1" applyFill="1" applyBorder="1" applyAlignment="1" applyProtection="1">
      <alignment horizontal="center" vertical="center" shrinkToFit="1"/>
      <protection hidden="1"/>
    </xf>
    <xf numFmtId="0" fontId="4" fillId="3" borderId="3" xfId="0" applyFont="1" applyFill="1" applyBorder="1" applyAlignment="1" applyProtection="1">
      <alignment horizontal="center" vertical="center"/>
      <protection hidden="1"/>
    </xf>
    <xf numFmtId="44" fontId="22" fillId="3" borderId="3" xfId="0" applyNumberFormat="1" applyFont="1" applyFill="1" applyBorder="1" applyAlignment="1" applyProtection="1">
      <alignment horizontal="center" vertical="center"/>
      <protection hidden="1"/>
    </xf>
    <xf numFmtId="44" fontId="4" fillId="3" borderId="3" xfId="0" applyNumberFormat="1" applyFont="1" applyFill="1" applyBorder="1" applyAlignment="1" applyProtection="1">
      <alignment horizontal="center" vertical="center"/>
      <protection hidden="1"/>
    </xf>
    <xf numFmtId="44" fontId="4" fillId="3" borderId="3" xfId="0" quotePrefix="1" applyNumberFormat="1" applyFont="1" applyFill="1" applyBorder="1" applyAlignment="1" applyProtection="1">
      <alignment horizontal="center" vertical="center"/>
      <protection hidden="1"/>
    </xf>
    <xf numFmtId="44" fontId="7" fillId="3" borderId="32" xfId="0" applyNumberFormat="1" applyFont="1" applyFill="1" applyBorder="1" applyAlignment="1" applyProtection="1">
      <alignment horizontal="center" vertical="center"/>
      <protection hidden="1"/>
    </xf>
    <xf numFmtId="0" fontId="5" fillId="3" borderId="28" xfId="0" applyFont="1" applyFill="1" applyBorder="1" applyAlignment="1" applyProtection="1">
      <alignment horizontal="left" vertical="top" wrapText="1" readingOrder="1"/>
      <protection hidden="1"/>
    </xf>
    <xf numFmtId="44" fontId="4" fillId="3" borderId="3" xfId="0" applyNumberFormat="1" applyFont="1" applyFill="1" applyBorder="1" applyAlignment="1" applyProtection="1">
      <alignment horizontal="center" vertical="center" shrinkToFit="1"/>
      <protection hidden="1"/>
    </xf>
    <xf numFmtId="44" fontId="22" fillId="3" borderId="3" xfId="0" applyNumberFormat="1" applyFont="1" applyFill="1" applyBorder="1" applyAlignment="1" applyProtection="1">
      <alignment horizontal="center" vertical="center" shrinkToFit="1"/>
      <protection hidden="1"/>
    </xf>
    <xf numFmtId="44" fontId="7" fillId="3" borderId="32" xfId="0" applyNumberFormat="1" applyFont="1" applyFill="1" applyBorder="1" applyAlignment="1" applyProtection="1">
      <alignment horizontal="center" vertical="center" shrinkToFit="1"/>
      <protection hidden="1"/>
    </xf>
    <xf numFmtId="44" fontId="23" fillId="3" borderId="47" xfId="0" applyNumberFormat="1" applyFont="1" applyFill="1" applyBorder="1" applyAlignment="1" applyProtection="1">
      <alignment horizontal="center" vertical="center" shrinkToFit="1"/>
      <protection hidden="1"/>
    </xf>
    <xf numFmtId="0" fontId="6" fillId="10" borderId="17" xfId="0" applyFont="1" applyFill="1" applyBorder="1" applyProtection="1">
      <protection hidden="1"/>
    </xf>
    <xf numFmtId="44" fontId="3" fillId="10" borderId="17" xfId="0" applyNumberFormat="1" applyFont="1" applyFill="1" applyBorder="1" applyAlignment="1" applyProtection="1">
      <alignment horizontal="center"/>
      <protection hidden="1"/>
    </xf>
    <xf numFmtId="0" fontId="6" fillId="10" borderId="17" xfId="0" quotePrefix="1" applyFont="1" applyFill="1" applyBorder="1" applyProtection="1">
      <protection hidden="1"/>
    </xf>
    <xf numFmtId="44" fontId="18" fillId="10" borderId="18" xfId="0" applyNumberFormat="1" applyFont="1" applyFill="1" applyBorder="1" applyAlignment="1" applyProtection="1">
      <alignment horizontal="center"/>
      <protection hidden="1"/>
    </xf>
    <xf numFmtId="44" fontId="3" fillId="10" borderId="36" xfId="0" applyNumberFormat="1" applyFont="1" applyFill="1" applyBorder="1" applyAlignment="1" applyProtection="1">
      <alignment horizontal="center"/>
      <protection hidden="1"/>
    </xf>
    <xf numFmtId="44" fontId="18" fillId="10" borderId="48" xfId="0" applyNumberFormat="1" applyFont="1" applyFill="1" applyBorder="1" applyAlignment="1" applyProtection="1">
      <alignment horizontal="center" shrinkToFit="1"/>
      <protection hidden="1"/>
    </xf>
    <xf numFmtId="0" fontId="19" fillId="11" borderId="19" xfId="0" applyFont="1" applyFill="1" applyBorder="1" applyAlignment="1" applyProtection="1">
      <alignment horizontal="left" vertical="center" wrapText="1"/>
      <protection hidden="1"/>
    </xf>
    <xf numFmtId="0" fontId="16" fillId="11" borderId="20" xfId="0" applyFont="1" applyFill="1" applyBorder="1" applyAlignment="1" applyProtection="1">
      <alignment vertical="center"/>
      <protection hidden="1"/>
    </xf>
    <xf numFmtId="0" fontId="16" fillId="11" borderId="20" xfId="0" applyFont="1" applyFill="1" applyBorder="1" applyAlignment="1" applyProtection="1">
      <alignment vertical="center" wrapText="1"/>
      <protection hidden="1"/>
    </xf>
    <xf numFmtId="0" fontId="20" fillId="11" borderId="12" xfId="0" applyFont="1" applyFill="1" applyBorder="1" applyAlignment="1" applyProtection="1">
      <alignment horizontal="left" vertical="center" wrapText="1"/>
      <protection hidden="1"/>
    </xf>
    <xf numFmtId="0" fontId="16" fillId="11" borderId="2" xfId="0" applyFont="1" applyFill="1" applyBorder="1" applyAlignment="1" applyProtection="1">
      <alignment horizontal="center" vertical="center"/>
      <protection hidden="1"/>
    </xf>
    <xf numFmtId="0" fontId="16" fillId="11" borderId="16" xfId="0" applyFont="1" applyFill="1" applyBorder="1" applyAlignment="1" applyProtection="1">
      <alignment horizontal="center" vertical="center"/>
      <protection hidden="1"/>
    </xf>
    <xf numFmtId="0" fontId="16" fillId="11" borderId="2" xfId="0" applyFont="1" applyFill="1" applyBorder="1" applyAlignment="1" applyProtection="1">
      <alignment horizontal="center" vertical="center" wrapText="1"/>
      <protection hidden="1"/>
    </xf>
    <xf numFmtId="0" fontId="4" fillId="3" borderId="37" xfId="0" applyFont="1" applyFill="1" applyBorder="1" applyAlignment="1" applyProtection="1">
      <alignment horizontal="center" vertical="center" shrinkToFit="1"/>
      <protection hidden="1"/>
    </xf>
    <xf numFmtId="44" fontId="4" fillId="3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22" fillId="3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7" fillId="3" borderId="46" xfId="0" applyNumberFormat="1" applyFont="1" applyFill="1" applyBorder="1" applyAlignment="1" applyProtection="1">
      <alignment horizontal="center" vertical="center" shrinkToFit="1"/>
      <protection hidden="1"/>
    </xf>
    <xf numFmtId="44" fontId="4" fillId="4" borderId="37" xfId="0" applyNumberFormat="1" applyFont="1" applyFill="1" applyBorder="1" applyAlignment="1" applyProtection="1">
      <alignment horizontal="center" vertical="center" shrinkToFit="1"/>
      <protection hidden="1"/>
    </xf>
    <xf numFmtId="44" fontId="4" fillId="4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22" fillId="4" borderId="2" xfId="0" applyNumberFormat="1" applyFont="1" applyFill="1" applyBorder="1" applyAlignment="1" applyProtection="1">
      <alignment horizontal="center" vertical="center" shrinkToFit="1"/>
      <protection hidden="1"/>
    </xf>
    <xf numFmtId="44" fontId="4" fillId="4" borderId="2" xfId="0" applyNumberFormat="1" applyFont="1" applyFill="1" applyBorder="1" applyAlignment="1" applyProtection="1">
      <alignment horizontal="center" vertical="center" shrinkToFit="1"/>
      <protection hidden="1"/>
    </xf>
    <xf numFmtId="44" fontId="7" fillId="4" borderId="16" xfId="0" applyNumberFormat="1" applyFont="1" applyFill="1" applyBorder="1" applyAlignment="1" applyProtection="1">
      <alignment horizontal="center" vertical="center" shrinkToFit="1"/>
      <protection hidden="1"/>
    </xf>
    <xf numFmtId="44" fontId="7" fillId="4" borderId="46" xfId="0" applyNumberFormat="1" applyFont="1" applyFill="1" applyBorder="1" applyAlignment="1" applyProtection="1">
      <alignment horizontal="center" vertical="center" shrinkToFit="1"/>
      <protection hidden="1"/>
    </xf>
    <xf numFmtId="44" fontId="4" fillId="3" borderId="37" xfId="0" applyNumberFormat="1" applyFont="1" applyFill="1" applyBorder="1" applyAlignment="1" applyProtection="1">
      <alignment horizontal="center" vertical="center" shrinkToFit="1"/>
      <protection hidden="1"/>
    </xf>
    <xf numFmtId="0" fontId="4" fillId="3" borderId="3" xfId="0" quotePrefix="1" applyFont="1" applyFill="1" applyBorder="1" applyAlignment="1" applyProtection="1">
      <alignment horizontal="center" vertical="center"/>
      <protection hidden="1"/>
    </xf>
    <xf numFmtId="44" fontId="4" fillId="3" borderId="40" xfId="0" applyNumberFormat="1" applyFont="1" applyFill="1" applyBorder="1" applyAlignment="1" applyProtection="1">
      <alignment horizontal="center" vertical="center" shrinkToFit="1"/>
      <protection hidden="1"/>
    </xf>
    <xf numFmtId="44" fontId="3" fillId="3" borderId="2" xfId="0" applyNumberFormat="1" applyFont="1" applyFill="1" applyBorder="1" applyAlignment="1" applyProtection="1">
      <alignment horizontal="center" vertical="center" shrinkToFit="1"/>
      <protection hidden="1"/>
    </xf>
    <xf numFmtId="44" fontId="7" fillId="3" borderId="47" xfId="0" applyNumberFormat="1" applyFont="1" applyFill="1" applyBorder="1" applyAlignment="1" applyProtection="1">
      <alignment horizontal="center" vertical="center" shrinkToFit="1"/>
      <protection hidden="1"/>
    </xf>
    <xf numFmtId="44" fontId="9" fillId="14" borderId="17" xfId="0" applyNumberFormat="1" applyFont="1" applyFill="1" applyBorder="1" applyProtection="1">
      <protection hidden="1"/>
    </xf>
    <xf numFmtId="44" fontId="3" fillId="14" borderId="17" xfId="0" applyNumberFormat="1" applyFont="1" applyFill="1" applyBorder="1" applyProtection="1">
      <protection hidden="1"/>
    </xf>
    <xf numFmtId="0" fontId="3" fillId="14" borderId="17" xfId="0" quotePrefix="1" applyFont="1" applyFill="1" applyBorder="1" applyProtection="1">
      <protection hidden="1"/>
    </xf>
    <xf numFmtId="44" fontId="3" fillId="14" borderId="17" xfId="0" applyNumberFormat="1" applyFont="1" applyFill="1" applyBorder="1" applyAlignment="1" applyProtection="1">
      <alignment horizontal="center"/>
      <protection hidden="1"/>
    </xf>
    <xf numFmtId="44" fontId="10" fillId="14" borderId="17" xfId="0" applyNumberFormat="1" applyFont="1" applyFill="1" applyBorder="1" applyAlignment="1" applyProtection="1">
      <alignment horizontal="center"/>
      <protection hidden="1"/>
    </xf>
    <xf numFmtId="44" fontId="18" fillId="14" borderId="18" xfId="0" applyNumberFormat="1" applyFont="1" applyFill="1" applyBorder="1" applyAlignment="1" applyProtection="1">
      <alignment horizontal="center"/>
      <protection hidden="1"/>
    </xf>
    <xf numFmtId="0" fontId="9" fillId="14" borderId="36" xfId="0" applyFont="1" applyFill="1" applyBorder="1" applyProtection="1">
      <protection hidden="1"/>
    </xf>
    <xf numFmtId="0" fontId="9" fillId="14" borderId="17" xfId="0" applyFont="1" applyFill="1" applyBorder="1" applyProtection="1">
      <protection hidden="1"/>
    </xf>
    <xf numFmtId="0" fontId="9" fillId="14" borderId="17" xfId="0" quotePrefix="1" applyFont="1" applyFill="1" applyBorder="1" applyProtection="1">
      <protection hidden="1"/>
    </xf>
    <xf numFmtId="44" fontId="3" fillId="14" borderId="17" xfId="0" applyNumberFormat="1" applyFont="1" applyFill="1" applyBorder="1" applyAlignment="1" applyProtection="1">
      <alignment horizontal="center" shrinkToFit="1"/>
      <protection hidden="1"/>
    </xf>
    <xf numFmtId="44" fontId="10" fillId="14" borderId="17" xfId="0" applyNumberFormat="1" applyFont="1" applyFill="1" applyBorder="1" applyAlignment="1" applyProtection="1">
      <alignment horizontal="center" shrinkToFit="1"/>
      <protection hidden="1"/>
    </xf>
    <xf numFmtId="44" fontId="10" fillId="14" borderId="18" xfId="0" applyNumberFormat="1" applyFont="1" applyFill="1" applyBorder="1" applyAlignment="1" applyProtection="1">
      <alignment horizontal="center" shrinkToFit="1"/>
      <protection hidden="1"/>
    </xf>
    <xf numFmtId="44" fontId="3" fillId="3" borderId="2" xfId="0" applyNumberFormat="1" applyFont="1" applyFill="1" applyBorder="1" applyAlignment="1" applyProtection="1">
      <alignment horizontal="center" shrinkToFit="1"/>
      <protection hidden="1"/>
    </xf>
    <xf numFmtId="44" fontId="18" fillId="14" borderId="48" xfId="0" applyNumberFormat="1" applyFont="1" applyFill="1" applyBorder="1" applyAlignment="1" applyProtection="1">
      <alignment horizontal="center" shrinkToFit="1"/>
      <protection hidden="1"/>
    </xf>
    <xf numFmtId="0" fontId="25" fillId="0" borderId="0" xfId="0" applyFont="1" applyProtection="1">
      <protection hidden="1"/>
    </xf>
    <xf numFmtId="44" fontId="8" fillId="0" borderId="0" xfId="0" applyNumberFormat="1" applyFont="1" applyProtection="1">
      <protection hidden="1"/>
    </xf>
    <xf numFmtId="0" fontId="19" fillId="15" borderId="19" xfId="0" applyFont="1" applyFill="1" applyBorder="1" applyAlignment="1" applyProtection="1">
      <alignment horizontal="left" vertical="center" wrapText="1"/>
      <protection hidden="1"/>
    </xf>
    <xf numFmtId="0" fontId="16" fillId="15" borderId="20" xfId="0" applyFont="1" applyFill="1" applyBorder="1" applyAlignment="1" applyProtection="1">
      <alignment vertical="center"/>
      <protection hidden="1"/>
    </xf>
    <xf numFmtId="0" fontId="16" fillId="15" borderId="19" xfId="0" applyFont="1" applyFill="1" applyBorder="1" applyAlignment="1" applyProtection="1">
      <alignment vertical="center" wrapText="1"/>
      <protection hidden="1"/>
    </xf>
    <xf numFmtId="0" fontId="16" fillId="15" borderId="20" xfId="0" applyFont="1" applyFill="1" applyBorder="1" applyAlignment="1" applyProtection="1">
      <alignment vertical="center" wrapText="1"/>
      <protection hidden="1"/>
    </xf>
    <xf numFmtId="0" fontId="20" fillId="15" borderId="12" xfId="0" applyFont="1" applyFill="1" applyBorder="1" applyAlignment="1" applyProtection="1">
      <alignment horizontal="left" vertical="center" wrapText="1"/>
      <protection hidden="1"/>
    </xf>
    <xf numFmtId="0" fontId="16" fillId="15" borderId="2" xfId="0" applyFont="1" applyFill="1" applyBorder="1" applyAlignment="1" applyProtection="1">
      <alignment horizontal="center" vertical="center"/>
      <protection hidden="1"/>
    </xf>
    <xf numFmtId="0" fontId="16" fillId="15" borderId="16" xfId="0" applyFont="1" applyFill="1" applyBorder="1" applyAlignment="1" applyProtection="1">
      <alignment horizontal="center" vertical="center"/>
      <protection hidden="1"/>
    </xf>
    <xf numFmtId="0" fontId="16" fillId="15" borderId="2" xfId="0" applyFont="1" applyFill="1" applyBorder="1" applyAlignment="1" applyProtection="1">
      <alignment horizontal="center" vertical="center" wrapText="1"/>
      <protection hidden="1"/>
    </xf>
    <xf numFmtId="44" fontId="26" fillId="3" borderId="2" xfId="0" applyNumberFormat="1" applyFont="1" applyFill="1" applyBorder="1" applyAlignment="1" applyProtection="1">
      <alignment horizontal="center" vertical="center"/>
      <protection hidden="1"/>
    </xf>
    <xf numFmtId="44" fontId="26" fillId="4" borderId="2" xfId="0" applyNumberFormat="1" applyFont="1" applyFill="1" applyBorder="1" applyAlignment="1" applyProtection="1">
      <alignment horizontal="center" vertical="center"/>
      <protection hidden="1"/>
    </xf>
    <xf numFmtId="0" fontId="4" fillId="4" borderId="37" xfId="0" applyFont="1" applyFill="1" applyBorder="1" applyAlignment="1" applyProtection="1">
      <alignment horizontal="center" vertical="center" shrinkToFit="1"/>
      <protection hidden="1"/>
    </xf>
    <xf numFmtId="0" fontId="4" fillId="4" borderId="3" xfId="0" applyFont="1" applyFill="1" applyBorder="1" applyAlignment="1" applyProtection="1">
      <alignment horizontal="center" vertical="center"/>
      <protection hidden="1"/>
    </xf>
    <xf numFmtId="44" fontId="22" fillId="4" borderId="3" xfId="0" applyNumberFormat="1" applyFont="1" applyFill="1" applyBorder="1" applyAlignment="1" applyProtection="1">
      <alignment horizontal="center" vertical="center"/>
      <protection hidden="1"/>
    </xf>
    <xf numFmtId="44" fontId="26" fillId="4" borderId="3" xfId="0" applyNumberFormat="1" applyFont="1" applyFill="1" applyBorder="1" applyAlignment="1" applyProtection="1">
      <alignment horizontal="center" vertical="center"/>
      <protection hidden="1"/>
    </xf>
    <xf numFmtId="44" fontId="4" fillId="4" borderId="3" xfId="0" quotePrefix="1" applyNumberFormat="1" applyFont="1" applyFill="1" applyBorder="1" applyAlignment="1" applyProtection="1">
      <alignment horizontal="center" vertical="center"/>
      <protection hidden="1"/>
    </xf>
    <xf numFmtId="44" fontId="4" fillId="4" borderId="3" xfId="0" applyNumberFormat="1" applyFont="1" applyFill="1" applyBorder="1" applyAlignment="1" applyProtection="1">
      <alignment horizontal="center" vertical="center"/>
      <protection hidden="1"/>
    </xf>
    <xf numFmtId="44" fontId="7" fillId="4" borderId="32" xfId="0" applyNumberFormat="1" applyFont="1" applyFill="1" applyBorder="1" applyAlignment="1" applyProtection="1">
      <alignment horizontal="center" vertical="center"/>
      <protection hidden="1"/>
    </xf>
    <xf numFmtId="0" fontId="4" fillId="4" borderId="40" xfId="0" applyFont="1" applyFill="1" applyBorder="1" applyAlignment="1" applyProtection="1">
      <alignment horizontal="center" vertical="center" shrinkToFit="1"/>
      <protection hidden="1"/>
    </xf>
    <xf numFmtId="44" fontId="4" fillId="4" borderId="3" xfId="0" quotePrefix="1" applyNumberFormat="1" applyFont="1" applyFill="1" applyBorder="1" applyAlignment="1" applyProtection="1">
      <alignment horizontal="center" vertical="center" shrinkToFit="1"/>
      <protection hidden="1"/>
    </xf>
    <xf numFmtId="44" fontId="22" fillId="4" borderId="3" xfId="0" applyNumberFormat="1" applyFont="1" applyFill="1" applyBorder="1" applyAlignment="1" applyProtection="1">
      <alignment horizontal="center" vertical="center" shrinkToFit="1"/>
      <protection hidden="1"/>
    </xf>
    <xf numFmtId="44" fontId="4" fillId="4" borderId="3" xfId="0" applyNumberFormat="1" applyFont="1" applyFill="1" applyBorder="1" applyAlignment="1" applyProtection="1">
      <alignment horizontal="center" vertical="center" shrinkToFit="1"/>
      <protection hidden="1"/>
    </xf>
    <xf numFmtId="44" fontId="7" fillId="4" borderId="32" xfId="0" applyNumberFormat="1" applyFont="1" applyFill="1" applyBorder="1" applyAlignment="1" applyProtection="1">
      <alignment horizontal="center" vertical="center" shrinkToFit="1"/>
      <protection hidden="1"/>
    </xf>
    <xf numFmtId="44" fontId="7" fillId="4" borderId="47" xfId="0" applyNumberFormat="1" applyFont="1" applyFill="1" applyBorder="1" applyAlignment="1" applyProtection="1">
      <alignment horizontal="center" vertical="center" shrinkToFit="1"/>
      <protection hidden="1"/>
    </xf>
    <xf numFmtId="44" fontId="9" fillId="18" borderId="17" xfId="0" applyNumberFormat="1" applyFont="1" applyFill="1" applyBorder="1" applyProtection="1">
      <protection hidden="1"/>
    </xf>
    <xf numFmtId="44" fontId="3" fillId="18" borderId="17" xfId="0" applyNumberFormat="1" applyFont="1" applyFill="1" applyBorder="1" applyProtection="1">
      <protection hidden="1"/>
    </xf>
    <xf numFmtId="0" fontId="3" fillId="18" borderId="17" xfId="0" quotePrefix="1" applyFont="1" applyFill="1" applyBorder="1" applyProtection="1">
      <protection hidden="1"/>
    </xf>
    <xf numFmtId="44" fontId="3" fillId="18" borderId="17" xfId="0" applyNumberFormat="1" applyFont="1" applyFill="1" applyBorder="1" applyAlignment="1" applyProtection="1">
      <alignment horizontal="center" shrinkToFit="1"/>
      <protection hidden="1"/>
    </xf>
    <xf numFmtId="44" fontId="10" fillId="18" borderId="17" xfId="0" applyNumberFormat="1" applyFont="1" applyFill="1" applyBorder="1" applyAlignment="1" applyProtection="1">
      <alignment horizontal="center" shrinkToFit="1"/>
      <protection hidden="1"/>
    </xf>
    <xf numFmtId="44" fontId="18" fillId="18" borderId="18" xfId="0" applyNumberFormat="1" applyFont="1" applyFill="1" applyBorder="1" applyAlignment="1" applyProtection="1">
      <alignment horizontal="center" shrinkToFit="1"/>
      <protection hidden="1"/>
    </xf>
    <xf numFmtId="0" fontId="9" fillId="18" borderId="36" xfId="0" applyFont="1" applyFill="1" applyBorder="1" applyProtection="1">
      <protection hidden="1"/>
    </xf>
    <xf numFmtId="0" fontId="9" fillId="18" borderId="17" xfId="0" applyFont="1" applyFill="1" applyBorder="1" applyProtection="1">
      <protection hidden="1"/>
    </xf>
    <xf numFmtId="0" fontId="9" fillId="18" borderId="17" xfId="0" quotePrefix="1" applyFont="1" applyFill="1" applyBorder="1" applyProtection="1">
      <protection hidden="1"/>
    </xf>
    <xf numFmtId="44" fontId="10" fillId="18" borderId="18" xfId="0" applyNumberFormat="1" applyFont="1" applyFill="1" applyBorder="1" applyAlignment="1" applyProtection="1">
      <alignment horizontal="center" shrinkToFit="1"/>
      <protection hidden="1"/>
    </xf>
    <xf numFmtId="44" fontId="18" fillId="18" borderId="48" xfId="0" applyNumberFormat="1" applyFont="1" applyFill="1" applyBorder="1" applyAlignment="1" applyProtection="1">
      <alignment horizontal="center" shrinkToFit="1"/>
      <protection hidden="1"/>
    </xf>
    <xf numFmtId="0" fontId="27" fillId="19" borderId="19" xfId="0" applyFont="1" applyFill="1" applyBorder="1" applyAlignment="1" applyProtection="1">
      <alignment horizontal="left" vertical="center" wrapText="1"/>
      <protection hidden="1"/>
    </xf>
    <xf numFmtId="0" fontId="16" fillId="19" borderId="20" xfId="0" applyFont="1" applyFill="1" applyBorder="1" applyAlignment="1" applyProtection="1">
      <alignment horizontal="center" vertical="center"/>
      <protection hidden="1"/>
    </xf>
    <xf numFmtId="0" fontId="16" fillId="19" borderId="19" xfId="0" applyFont="1" applyFill="1" applyBorder="1" applyAlignment="1" applyProtection="1">
      <alignment horizontal="center" vertical="center"/>
      <protection hidden="1"/>
    </xf>
    <xf numFmtId="0" fontId="20" fillId="19" borderId="12" xfId="0" applyFont="1" applyFill="1" applyBorder="1" applyAlignment="1" applyProtection="1">
      <alignment horizontal="left" vertical="center"/>
      <protection hidden="1"/>
    </xf>
    <xf numFmtId="0" fontId="16" fillId="19" borderId="2" xfId="0" applyFont="1" applyFill="1" applyBorder="1" applyAlignment="1" applyProtection="1">
      <alignment horizontal="center" vertical="center"/>
      <protection hidden="1"/>
    </xf>
    <xf numFmtId="0" fontId="16" fillId="19" borderId="16" xfId="0" applyFont="1" applyFill="1" applyBorder="1" applyAlignment="1" applyProtection="1">
      <alignment horizontal="center" vertical="center"/>
      <protection hidden="1"/>
    </xf>
    <xf numFmtId="0" fontId="20" fillId="19" borderId="12" xfId="0" applyFont="1" applyFill="1" applyBorder="1" applyAlignment="1" applyProtection="1">
      <alignment horizontal="left" vertical="center" wrapText="1"/>
      <protection hidden="1"/>
    </xf>
    <xf numFmtId="0" fontId="16" fillId="19" borderId="2" xfId="0" applyFont="1" applyFill="1" applyBorder="1" applyAlignment="1" applyProtection="1">
      <alignment horizontal="center" vertical="center" wrapText="1"/>
      <protection hidden="1"/>
    </xf>
    <xf numFmtId="0" fontId="5" fillId="3" borderId="12" xfId="0" applyFont="1" applyFill="1" applyBorder="1" applyAlignment="1" applyProtection="1">
      <alignment vertical="center" wrapText="1"/>
      <protection hidden="1"/>
    </xf>
    <xf numFmtId="0" fontId="5" fillId="20" borderId="12" xfId="0" applyFont="1" applyFill="1" applyBorder="1" applyAlignment="1" applyProtection="1">
      <alignment horizontal="left" vertical="top" wrapText="1" readingOrder="1"/>
      <protection hidden="1"/>
    </xf>
    <xf numFmtId="44" fontId="4" fillId="20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22" fillId="20" borderId="2" xfId="0" applyNumberFormat="1" applyFont="1" applyFill="1" applyBorder="1" applyAlignment="1" applyProtection="1">
      <alignment horizontal="center" vertical="center" shrinkToFit="1"/>
      <protection hidden="1"/>
    </xf>
    <xf numFmtId="44" fontId="22" fillId="20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4" fillId="20" borderId="2" xfId="0" applyNumberFormat="1" applyFont="1" applyFill="1" applyBorder="1" applyAlignment="1" applyProtection="1">
      <alignment horizontal="center" vertical="center" shrinkToFit="1"/>
      <protection hidden="1"/>
    </xf>
    <xf numFmtId="44" fontId="7" fillId="20" borderId="16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6" fillId="19" borderId="12" xfId="0" applyFont="1" applyFill="1" applyBorder="1" applyAlignment="1" applyProtection="1">
      <alignment horizontal="center" vertical="center"/>
      <protection hidden="1"/>
    </xf>
    <xf numFmtId="0" fontId="16" fillId="19" borderId="2" xfId="0" applyFont="1" applyFill="1" applyBorder="1" applyAlignment="1" applyProtection="1">
      <alignment vertical="center" wrapText="1"/>
      <protection hidden="1"/>
    </xf>
    <xf numFmtId="0" fontId="16" fillId="19" borderId="16" xfId="0" applyFont="1" applyFill="1" applyBorder="1" applyAlignment="1" applyProtection="1">
      <alignment vertical="center" wrapText="1"/>
      <protection hidden="1"/>
    </xf>
    <xf numFmtId="44" fontId="7" fillId="19" borderId="46" xfId="0" applyNumberFormat="1" applyFont="1" applyFill="1" applyBorder="1" applyAlignment="1" applyProtection="1">
      <alignment horizontal="center" vertical="center" shrinkToFit="1"/>
      <protection hidden="1"/>
    </xf>
    <xf numFmtId="0" fontId="5" fillId="20" borderId="2" xfId="0" applyFont="1" applyFill="1" applyBorder="1" applyAlignment="1" applyProtection="1">
      <alignment horizontal="center" vertical="center" wrapText="1"/>
      <protection hidden="1"/>
    </xf>
    <xf numFmtId="0" fontId="5" fillId="3" borderId="27" xfId="0" applyFont="1" applyFill="1" applyBorder="1" applyAlignment="1" applyProtection="1">
      <alignment horizontal="center" vertical="center" wrapText="1"/>
      <protection hidden="1"/>
    </xf>
    <xf numFmtId="0" fontId="28" fillId="3" borderId="12" xfId="0" applyFont="1" applyFill="1" applyBorder="1" applyAlignment="1" applyProtection="1">
      <alignment horizontal="center" vertical="center"/>
      <protection hidden="1"/>
    </xf>
    <xf numFmtId="0" fontId="16" fillId="3" borderId="2" xfId="0" applyFont="1" applyFill="1" applyBorder="1" applyAlignment="1" applyProtection="1">
      <alignment horizontal="center" vertical="center"/>
      <protection hidden="1"/>
    </xf>
    <xf numFmtId="0" fontId="16" fillId="3" borderId="2" xfId="0" applyFont="1" applyFill="1" applyBorder="1" applyAlignment="1" applyProtection="1">
      <alignment vertical="center" wrapText="1"/>
      <protection hidden="1"/>
    </xf>
    <xf numFmtId="0" fontId="16" fillId="3" borderId="16" xfId="0" applyFont="1" applyFill="1" applyBorder="1" applyAlignment="1" applyProtection="1">
      <alignment vertical="center" wrapText="1"/>
      <protection hidden="1"/>
    </xf>
    <xf numFmtId="0" fontId="5" fillId="4" borderId="12" xfId="0" applyFont="1" applyFill="1" applyBorder="1" applyAlignment="1" applyProtection="1">
      <alignment vertical="center" wrapText="1"/>
      <protection hidden="1"/>
    </xf>
    <xf numFmtId="0" fontId="5" fillId="4" borderId="2" xfId="0" applyFont="1" applyFill="1" applyBorder="1" applyAlignment="1" applyProtection="1">
      <alignment horizontal="center" vertical="center"/>
      <protection hidden="1"/>
    </xf>
    <xf numFmtId="44" fontId="22" fillId="4" borderId="2" xfId="0" quotePrefix="1" applyNumberFormat="1" applyFont="1" applyFill="1" applyBorder="1" applyAlignment="1" applyProtection="1">
      <alignment horizontal="center" vertical="center"/>
      <protection hidden="1"/>
    </xf>
    <xf numFmtId="0" fontId="28" fillId="4" borderId="12" xfId="0" applyFont="1" applyFill="1" applyBorder="1" applyAlignment="1" applyProtection="1">
      <alignment horizontal="center" vertical="center"/>
      <protection hidden="1"/>
    </xf>
    <xf numFmtId="0" fontId="29" fillId="4" borderId="2" xfId="0" applyFont="1" applyFill="1" applyBorder="1" applyAlignment="1" applyProtection="1">
      <alignment horizontal="center" vertical="center"/>
      <protection hidden="1"/>
    </xf>
    <xf numFmtId="0" fontId="29" fillId="4" borderId="2" xfId="0" applyFont="1" applyFill="1" applyBorder="1" applyAlignment="1" applyProtection="1">
      <alignment vertical="center" wrapText="1"/>
      <protection hidden="1"/>
    </xf>
    <xf numFmtId="0" fontId="29" fillId="4" borderId="16" xfId="0" applyFont="1" applyFill="1" applyBorder="1" applyAlignment="1" applyProtection="1">
      <alignment vertical="center" wrapText="1"/>
      <protection hidden="1"/>
    </xf>
    <xf numFmtId="0" fontId="5" fillId="3" borderId="2" xfId="0" applyFont="1" applyFill="1" applyBorder="1" applyAlignment="1" applyProtection="1">
      <alignment horizontal="center" vertical="center"/>
      <protection hidden="1"/>
    </xf>
    <xf numFmtId="0" fontId="30" fillId="19" borderId="12" xfId="0" applyFont="1" applyFill="1" applyBorder="1" applyAlignment="1" applyProtection="1">
      <alignment horizontal="center" vertical="center"/>
      <protection hidden="1"/>
    </xf>
    <xf numFmtId="0" fontId="25" fillId="3" borderId="12" xfId="0" applyFont="1" applyFill="1" applyBorder="1" applyAlignment="1" applyProtection="1">
      <alignment horizontal="center" vertical="center" shrinkToFit="1"/>
      <protection hidden="1"/>
    </xf>
    <xf numFmtId="44" fontId="4" fillId="3" borderId="16" xfId="0" applyNumberFormat="1" applyFont="1" applyFill="1" applyBorder="1" applyAlignment="1" applyProtection="1">
      <alignment horizontal="center" vertical="center" shrinkToFit="1"/>
      <protection hidden="1"/>
    </xf>
    <xf numFmtId="0" fontId="5" fillId="4" borderId="28" xfId="0" applyFont="1" applyFill="1" applyBorder="1" applyAlignment="1" applyProtection="1">
      <alignment vertical="center" wrapText="1"/>
      <protection hidden="1"/>
    </xf>
    <xf numFmtId="0" fontId="4" fillId="4" borderId="3" xfId="0" applyFont="1" applyFill="1" applyBorder="1" applyAlignment="1" applyProtection="1">
      <alignment horizontal="center" vertical="center" shrinkToFit="1"/>
      <protection hidden="1"/>
    </xf>
    <xf numFmtId="44" fontId="22" fillId="4" borderId="3" xfId="0" quotePrefix="1" applyNumberFormat="1" applyFont="1" applyFill="1" applyBorder="1" applyAlignment="1" applyProtection="1">
      <alignment horizontal="center" vertical="center"/>
      <protection hidden="1"/>
    </xf>
    <xf numFmtId="0" fontId="25" fillId="4" borderId="28" xfId="0" applyFont="1" applyFill="1" applyBorder="1" applyAlignment="1" applyProtection="1">
      <alignment horizontal="center" vertical="center" shrinkToFit="1"/>
      <protection hidden="1"/>
    </xf>
    <xf numFmtId="44" fontId="4" fillId="4" borderId="32" xfId="0" applyNumberFormat="1" applyFont="1" applyFill="1" applyBorder="1" applyAlignment="1" applyProtection="1">
      <alignment horizontal="center" vertical="center" shrinkToFit="1"/>
      <protection hidden="1"/>
    </xf>
    <xf numFmtId="44" fontId="9" fillId="22" borderId="17" xfId="0" applyNumberFormat="1" applyFont="1" applyFill="1" applyBorder="1" applyProtection="1">
      <protection hidden="1"/>
    </xf>
    <xf numFmtId="44" fontId="3" fillId="22" borderId="17" xfId="0" applyNumberFormat="1" applyFont="1" applyFill="1" applyBorder="1" applyProtection="1">
      <protection hidden="1"/>
    </xf>
    <xf numFmtId="0" fontId="3" fillId="22" borderId="17" xfId="0" quotePrefix="1" applyFont="1" applyFill="1" applyBorder="1" applyProtection="1">
      <protection hidden="1"/>
    </xf>
    <xf numFmtId="44" fontId="3" fillId="22" borderId="17" xfId="0" applyNumberFormat="1" applyFont="1" applyFill="1" applyBorder="1" applyAlignment="1" applyProtection="1">
      <alignment horizontal="center" shrinkToFit="1"/>
      <protection hidden="1"/>
    </xf>
    <xf numFmtId="44" fontId="10" fillId="22" borderId="17" xfId="0" applyNumberFormat="1" applyFont="1" applyFill="1" applyBorder="1" applyAlignment="1" applyProtection="1">
      <alignment horizontal="center" shrinkToFit="1"/>
      <protection hidden="1"/>
    </xf>
    <xf numFmtId="44" fontId="18" fillId="22" borderId="18" xfId="0" applyNumberFormat="1" applyFont="1" applyFill="1" applyBorder="1" applyAlignment="1" applyProtection="1">
      <alignment horizontal="center" shrinkToFit="1"/>
      <protection hidden="1"/>
    </xf>
    <xf numFmtId="0" fontId="9" fillId="22" borderId="36" xfId="0" applyFont="1" applyFill="1" applyBorder="1" applyProtection="1">
      <protection hidden="1"/>
    </xf>
    <xf numFmtId="0" fontId="9" fillId="22" borderId="17" xfId="0" applyFont="1" applyFill="1" applyBorder="1" applyProtection="1">
      <protection hidden="1"/>
    </xf>
    <xf numFmtId="0" fontId="9" fillId="22" borderId="17" xfId="0" quotePrefix="1" applyFont="1" applyFill="1" applyBorder="1" applyProtection="1">
      <protection hidden="1"/>
    </xf>
    <xf numFmtId="44" fontId="10" fillId="22" borderId="18" xfId="0" applyNumberFormat="1" applyFont="1" applyFill="1" applyBorder="1" applyAlignment="1" applyProtection="1">
      <alignment horizontal="center" shrinkToFit="1"/>
      <protection hidden="1"/>
    </xf>
    <xf numFmtId="44" fontId="18" fillId="22" borderId="48" xfId="0" applyNumberFormat="1" applyFont="1" applyFill="1" applyBorder="1" applyAlignment="1" applyProtection="1">
      <alignment horizontal="center" shrinkToFit="1"/>
      <protection hidden="1"/>
    </xf>
    <xf numFmtId="44" fontId="4" fillId="3" borderId="2" xfId="0" applyNumberFormat="1" applyFont="1" applyFill="1" applyBorder="1" applyAlignment="1" applyProtection="1">
      <alignment horizontal="center" shrinkToFit="1"/>
      <protection hidden="1"/>
    </xf>
    <xf numFmtId="0" fontId="27" fillId="23" borderId="19" xfId="0" applyFont="1" applyFill="1" applyBorder="1" applyAlignment="1" applyProtection="1">
      <alignment horizontal="left" vertical="top"/>
      <protection hidden="1"/>
    </xf>
    <xf numFmtId="0" fontId="27" fillId="23" borderId="20" xfId="0" applyFont="1" applyFill="1" applyBorder="1" applyAlignment="1" applyProtection="1">
      <alignment horizontal="left" vertical="top"/>
      <protection hidden="1"/>
    </xf>
    <xf numFmtId="0" fontId="27" fillId="23" borderId="41" xfId="0" applyFont="1" applyFill="1" applyBorder="1" applyAlignment="1" applyProtection="1">
      <alignment horizontal="left" vertical="top"/>
      <protection hidden="1"/>
    </xf>
    <xf numFmtId="0" fontId="20" fillId="23" borderId="12" xfId="0" applyFont="1" applyFill="1" applyBorder="1" applyAlignment="1" applyProtection="1">
      <alignment horizontal="left" vertical="top"/>
      <protection hidden="1"/>
    </xf>
    <xf numFmtId="44" fontId="5" fillId="23" borderId="2" xfId="0" applyNumberFormat="1" applyFont="1" applyFill="1" applyBorder="1" applyAlignment="1" applyProtection="1">
      <alignment horizontal="center" vertical="center" shrinkToFit="1"/>
      <protection hidden="1"/>
    </xf>
    <xf numFmtId="44" fontId="16" fillId="23" borderId="2" xfId="0" applyNumberFormat="1" applyFont="1" applyFill="1" applyBorder="1" applyAlignment="1" applyProtection="1">
      <alignment horizontal="center" vertical="center" shrinkToFit="1"/>
      <protection hidden="1"/>
    </xf>
    <xf numFmtId="44" fontId="16" fillId="23" borderId="16" xfId="0" applyNumberFormat="1" applyFont="1" applyFill="1" applyBorder="1" applyAlignment="1" applyProtection="1">
      <alignment horizontal="center" vertical="center" shrinkToFit="1"/>
      <protection hidden="1"/>
    </xf>
    <xf numFmtId="0" fontId="10" fillId="23" borderId="12" xfId="0" applyFont="1" applyFill="1" applyBorder="1" applyAlignment="1" applyProtection="1">
      <alignment horizontal="left" vertical="center" wrapText="1"/>
      <protection hidden="1"/>
    </xf>
    <xf numFmtId="0" fontId="16" fillId="23" borderId="2" xfId="0" applyFont="1" applyFill="1" applyBorder="1" applyAlignment="1" applyProtection="1">
      <alignment horizontal="center" vertical="center" wrapText="1"/>
      <protection hidden="1"/>
    </xf>
    <xf numFmtId="0" fontId="16" fillId="23" borderId="2" xfId="0" applyFont="1" applyFill="1" applyBorder="1" applyAlignment="1" applyProtection="1">
      <alignment horizontal="center" vertical="center"/>
      <protection hidden="1"/>
    </xf>
    <xf numFmtId="0" fontId="16" fillId="23" borderId="16" xfId="0" applyFont="1" applyFill="1" applyBorder="1" applyAlignment="1" applyProtection="1">
      <alignment horizontal="center" vertical="center"/>
      <protection hidden="1"/>
    </xf>
    <xf numFmtId="44" fontId="4" fillId="3" borderId="12" xfId="0" applyNumberFormat="1" applyFont="1" applyFill="1" applyBorder="1" applyAlignment="1" applyProtection="1">
      <alignment horizontal="center" vertical="center" shrinkToFit="1"/>
      <protection hidden="1"/>
    </xf>
    <xf numFmtId="44" fontId="4" fillId="4" borderId="16" xfId="0" applyNumberFormat="1" applyFont="1" applyFill="1" applyBorder="1" applyAlignment="1" applyProtection="1">
      <alignment horizontal="center" vertical="center" shrinkToFit="1"/>
      <protection hidden="1"/>
    </xf>
    <xf numFmtId="44" fontId="4" fillId="3" borderId="3" xfId="0" quotePrefix="1" applyNumberFormat="1" applyFont="1" applyFill="1" applyBorder="1" applyAlignment="1" applyProtection="1">
      <alignment horizontal="center" vertical="center" shrinkToFit="1"/>
      <protection hidden="1"/>
    </xf>
    <xf numFmtId="44" fontId="4" fillId="3" borderId="32" xfId="0" applyNumberFormat="1" applyFont="1" applyFill="1" applyBorder="1" applyAlignment="1" applyProtection="1">
      <alignment horizontal="center" vertical="center" shrinkToFit="1"/>
      <protection hidden="1"/>
    </xf>
    <xf numFmtId="44" fontId="4" fillId="3" borderId="28" xfId="0" applyNumberFormat="1" applyFont="1" applyFill="1" applyBorder="1" applyAlignment="1" applyProtection="1">
      <alignment horizontal="center" vertical="center" shrinkToFit="1"/>
      <protection hidden="1"/>
    </xf>
    <xf numFmtId="44" fontId="9" fillId="26" borderId="17" xfId="0" applyNumberFormat="1" applyFont="1" applyFill="1" applyBorder="1" applyProtection="1">
      <protection hidden="1"/>
    </xf>
    <xf numFmtId="44" fontId="3" fillId="26" borderId="17" xfId="0" applyNumberFormat="1" applyFont="1" applyFill="1" applyBorder="1" applyProtection="1">
      <protection hidden="1"/>
    </xf>
    <xf numFmtId="0" fontId="3" fillId="26" borderId="17" xfId="0" quotePrefix="1" applyFont="1" applyFill="1" applyBorder="1" applyProtection="1">
      <protection hidden="1"/>
    </xf>
    <xf numFmtId="44" fontId="3" fillId="26" borderId="17" xfId="0" applyNumberFormat="1" applyFont="1" applyFill="1" applyBorder="1" applyAlignment="1" applyProtection="1">
      <alignment horizontal="center" shrinkToFit="1"/>
      <protection hidden="1"/>
    </xf>
    <xf numFmtId="44" fontId="10" fillId="26" borderId="17" xfId="0" applyNumberFormat="1" applyFont="1" applyFill="1" applyBorder="1" applyAlignment="1" applyProtection="1">
      <alignment horizontal="center" shrinkToFit="1"/>
      <protection hidden="1"/>
    </xf>
    <xf numFmtId="44" fontId="18" fillId="26" borderId="18" xfId="0" applyNumberFormat="1" applyFont="1" applyFill="1" applyBorder="1" applyAlignment="1" applyProtection="1">
      <alignment horizontal="center" shrinkToFit="1"/>
      <protection hidden="1"/>
    </xf>
    <xf numFmtId="44" fontId="3" fillId="26" borderId="36" xfId="0" applyNumberFormat="1" applyFont="1" applyFill="1" applyBorder="1" applyAlignment="1" applyProtection="1">
      <alignment horizontal="center"/>
      <protection hidden="1"/>
    </xf>
    <xf numFmtId="44" fontId="3" fillId="26" borderId="17" xfId="0" applyNumberFormat="1" applyFont="1" applyFill="1" applyBorder="1" applyAlignment="1" applyProtection="1">
      <alignment horizontal="center"/>
      <protection hidden="1"/>
    </xf>
    <xf numFmtId="0" fontId="6" fillId="26" borderId="17" xfId="0" applyFont="1" applyFill="1" applyBorder="1" applyProtection="1">
      <protection hidden="1"/>
    </xf>
    <xf numFmtId="44" fontId="18" fillId="26" borderId="18" xfId="0" applyNumberFormat="1" applyFont="1" applyFill="1" applyBorder="1" applyAlignment="1" applyProtection="1">
      <alignment horizontal="center"/>
      <protection hidden="1"/>
    </xf>
    <xf numFmtId="44" fontId="18" fillId="26" borderId="48" xfId="0" applyNumberFormat="1" applyFont="1" applyFill="1" applyBorder="1" applyAlignment="1" applyProtection="1">
      <alignment horizontal="center" shrinkToFit="1"/>
      <protection hidden="1"/>
    </xf>
    <xf numFmtId="0" fontId="27" fillId="27" borderId="19" xfId="0" applyFont="1" applyFill="1" applyBorder="1" applyAlignment="1" applyProtection="1">
      <alignment horizontal="left" vertical="center"/>
      <protection hidden="1"/>
    </xf>
    <xf numFmtId="0" fontId="20" fillId="27" borderId="20" xfId="0" applyFont="1" applyFill="1" applyBorder="1" applyAlignment="1" applyProtection="1">
      <alignment horizontal="left" vertical="center"/>
      <protection hidden="1"/>
    </xf>
    <xf numFmtId="0" fontId="20" fillId="27" borderId="41" xfId="0" applyFont="1" applyFill="1" applyBorder="1" applyAlignment="1" applyProtection="1">
      <alignment horizontal="left" vertical="center"/>
      <protection hidden="1"/>
    </xf>
    <xf numFmtId="0" fontId="27" fillId="27" borderId="19" xfId="0" applyFont="1" applyFill="1" applyBorder="1" applyAlignment="1" applyProtection="1">
      <alignment horizontal="left" vertical="top"/>
      <protection hidden="1"/>
    </xf>
    <xf numFmtId="0" fontId="27" fillId="27" borderId="20" xfId="0" applyFont="1" applyFill="1" applyBorder="1" applyAlignment="1" applyProtection="1">
      <alignment horizontal="left" vertical="top"/>
      <protection hidden="1"/>
    </xf>
    <xf numFmtId="0" fontId="27" fillId="27" borderId="41" xfId="0" applyFont="1" applyFill="1" applyBorder="1" applyAlignment="1" applyProtection="1">
      <alignment horizontal="left" vertical="top"/>
      <protection hidden="1"/>
    </xf>
    <xf numFmtId="0" fontId="20" fillId="27" borderId="12" xfId="0" applyFont="1" applyFill="1" applyBorder="1" applyAlignment="1" applyProtection="1">
      <alignment horizontal="left" vertical="center"/>
      <protection hidden="1"/>
    </xf>
    <xf numFmtId="44" fontId="5" fillId="27" borderId="2" xfId="0" applyNumberFormat="1" applyFont="1" applyFill="1" applyBorder="1" applyAlignment="1" applyProtection="1">
      <alignment horizontal="center" vertical="center" shrinkToFit="1"/>
      <protection hidden="1"/>
    </xf>
    <xf numFmtId="44" fontId="16" fillId="27" borderId="2" xfId="0" applyNumberFormat="1" applyFont="1" applyFill="1" applyBorder="1" applyAlignment="1" applyProtection="1">
      <alignment horizontal="center" vertical="center" shrinkToFit="1"/>
      <protection hidden="1"/>
    </xf>
    <xf numFmtId="44" fontId="16" fillId="27" borderId="2" xfId="0" quotePrefix="1" applyNumberFormat="1" applyFont="1" applyFill="1" applyBorder="1" applyAlignment="1" applyProtection="1">
      <alignment horizontal="center" vertical="center" shrinkToFit="1"/>
      <protection hidden="1"/>
    </xf>
    <xf numFmtId="44" fontId="16" fillId="27" borderId="2" xfId="0" applyNumberFormat="1" applyFont="1" applyFill="1" applyBorder="1" applyAlignment="1" applyProtection="1">
      <alignment horizontal="center" vertical="center"/>
      <protection hidden="1"/>
    </xf>
    <xf numFmtId="44" fontId="16" fillId="27" borderId="16" xfId="0" applyNumberFormat="1" applyFont="1" applyFill="1" applyBorder="1" applyAlignment="1" applyProtection="1">
      <alignment horizontal="center" vertical="center" shrinkToFit="1"/>
      <protection hidden="1"/>
    </xf>
    <xf numFmtId="0" fontId="10" fillId="27" borderId="12" xfId="0" applyFont="1" applyFill="1" applyBorder="1" applyAlignment="1" applyProtection="1">
      <alignment horizontal="left" vertical="center" wrapText="1"/>
      <protection hidden="1"/>
    </xf>
    <xf numFmtId="0" fontId="16" fillId="27" borderId="2" xfId="0" applyFont="1" applyFill="1" applyBorder="1" applyAlignment="1" applyProtection="1">
      <alignment horizontal="center" vertical="center" wrapText="1"/>
      <protection hidden="1"/>
    </xf>
    <xf numFmtId="0" fontId="16" fillId="27" borderId="2" xfId="0" applyFont="1" applyFill="1" applyBorder="1" applyAlignment="1" applyProtection="1">
      <alignment horizontal="center" vertical="center"/>
      <protection hidden="1"/>
    </xf>
    <xf numFmtId="0" fontId="16" fillId="27" borderId="16" xfId="0" applyFont="1" applyFill="1" applyBorder="1" applyAlignment="1" applyProtection="1">
      <alignment horizontal="center" vertical="center"/>
      <protection hidden="1"/>
    </xf>
    <xf numFmtId="44" fontId="22" fillId="3" borderId="12" xfId="0" applyNumberFormat="1" applyFont="1" applyFill="1" applyBorder="1" applyAlignment="1" applyProtection="1">
      <alignment horizontal="center" vertical="center" shrinkToFit="1"/>
      <protection hidden="1"/>
    </xf>
    <xf numFmtId="44" fontId="22" fillId="3" borderId="28" xfId="0" applyNumberFormat="1" applyFont="1" applyFill="1" applyBorder="1" applyAlignment="1" applyProtection="1">
      <alignment horizontal="center" vertical="center" shrinkToFit="1"/>
      <protection hidden="1"/>
    </xf>
    <xf numFmtId="0" fontId="6" fillId="29" borderId="17" xfId="0" applyFont="1" applyFill="1" applyBorder="1" applyProtection="1">
      <protection hidden="1"/>
    </xf>
    <xf numFmtId="44" fontId="6" fillId="29" borderId="17" xfId="0" applyNumberFormat="1" applyFont="1" applyFill="1" applyBorder="1" applyProtection="1">
      <protection hidden="1"/>
    </xf>
    <xf numFmtId="44" fontId="18" fillId="29" borderId="18" xfId="0" applyNumberFormat="1" applyFont="1" applyFill="1" applyBorder="1" applyAlignment="1" applyProtection="1">
      <alignment horizontal="center" shrinkToFit="1"/>
      <protection hidden="1"/>
    </xf>
    <xf numFmtId="44" fontId="3" fillId="29" borderId="36" xfId="0" applyNumberFormat="1" applyFont="1" applyFill="1" applyBorder="1" applyAlignment="1" applyProtection="1">
      <alignment horizontal="center"/>
      <protection hidden="1"/>
    </xf>
    <xf numFmtId="44" fontId="3" fillId="29" borderId="17" xfId="0" applyNumberFormat="1" applyFont="1" applyFill="1" applyBorder="1" applyAlignment="1" applyProtection="1">
      <alignment horizontal="center"/>
      <protection hidden="1"/>
    </xf>
    <xf numFmtId="44" fontId="18" fillId="29" borderId="18" xfId="0" applyNumberFormat="1" applyFont="1" applyFill="1" applyBorder="1" applyAlignment="1" applyProtection="1">
      <alignment horizontal="center"/>
      <protection hidden="1"/>
    </xf>
    <xf numFmtId="44" fontId="18" fillId="29" borderId="48" xfId="0" applyNumberFormat="1" applyFont="1" applyFill="1" applyBorder="1" applyAlignment="1" applyProtection="1">
      <alignment horizontal="center" shrinkToFit="1"/>
      <protection hidden="1"/>
    </xf>
    <xf numFmtId="0" fontId="19" fillId="30" borderId="19" xfId="0" applyFont="1" applyFill="1" applyBorder="1" applyAlignment="1" applyProtection="1">
      <alignment vertical="center"/>
      <protection hidden="1"/>
    </xf>
    <xf numFmtId="0" fontId="6" fillId="30" borderId="20" xfId="0" applyFont="1" applyFill="1" applyBorder="1" applyAlignment="1" applyProtection="1">
      <alignment vertical="center"/>
      <protection hidden="1"/>
    </xf>
    <xf numFmtId="0" fontId="7" fillId="3" borderId="2" xfId="0" applyFont="1" applyFill="1" applyBorder="1" applyAlignment="1" applyProtection="1">
      <alignment horizontal="right" vertical="center"/>
      <protection hidden="1"/>
    </xf>
    <xf numFmtId="0" fontId="6" fillId="30" borderId="19" xfId="0" applyFont="1" applyFill="1" applyBorder="1" applyAlignment="1" applyProtection="1">
      <alignment vertical="center"/>
      <protection hidden="1"/>
    </xf>
    <xf numFmtId="0" fontId="19" fillId="30" borderId="12" xfId="0" applyFont="1" applyFill="1" applyBorder="1" applyAlignment="1" applyProtection="1">
      <alignment vertical="center"/>
      <protection hidden="1"/>
    </xf>
    <xf numFmtId="0" fontId="6" fillId="30" borderId="2" xfId="0" applyFont="1" applyFill="1" applyBorder="1" applyAlignment="1" applyProtection="1">
      <alignment vertical="center"/>
      <protection hidden="1"/>
    </xf>
    <xf numFmtId="0" fontId="16" fillId="30" borderId="2" xfId="0" applyFont="1" applyFill="1" applyBorder="1" applyAlignment="1" applyProtection="1">
      <alignment horizontal="center" vertical="center"/>
      <protection hidden="1"/>
    </xf>
    <xf numFmtId="0" fontId="16" fillId="30" borderId="16" xfId="0" applyFont="1" applyFill="1" applyBorder="1" applyAlignment="1" applyProtection="1">
      <alignment horizontal="center" vertical="center"/>
      <protection hidden="1"/>
    </xf>
    <xf numFmtId="0" fontId="6" fillId="30" borderId="12" xfId="0" applyFont="1" applyFill="1" applyBorder="1" applyAlignment="1" applyProtection="1">
      <alignment vertical="center"/>
      <protection hidden="1"/>
    </xf>
    <xf numFmtId="0" fontId="4" fillId="31" borderId="12" xfId="0" applyFont="1" applyFill="1" applyBorder="1" applyAlignment="1" applyProtection="1">
      <alignment vertical="center"/>
      <protection hidden="1"/>
    </xf>
    <xf numFmtId="0" fontId="4" fillId="31" borderId="2" xfId="0" applyFont="1" applyFill="1" applyBorder="1" applyAlignment="1" applyProtection="1">
      <alignment vertical="center"/>
      <protection hidden="1"/>
    </xf>
    <xf numFmtId="44" fontId="4" fillId="31" borderId="2" xfId="0" applyNumberFormat="1" applyFont="1" applyFill="1" applyBorder="1" applyAlignment="1" applyProtection="1">
      <alignment vertical="center"/>
      <protection hidden="1"/>
    </xf>
    <xf numFmtId="44" fontId="4" fillId="31" borderId="16" xfId="0" applyNumberFormat="1" applyFont="1" applyFill="1" applyBorder="1" applyAlignment="1" applyProtection="1">
      <alignment vertical="center"/>
      <protection hidden="1"/>
    </xf>
    <xf numFmtId="0" fontId="3" fillId="31" borderId="12" xfId="0" applyFont="1" applyFill="1" applyBorder="1" applyAlignment="1" applyProtection="1">
      <alignment vertical="center"/>
      <protection hidden="1"/>
    </xf>
    <xf numFmtId="0" fontId="3" fillId="31" borderId="2" xfId="0" applyFont="1" applyFill="1" applyBorder="1" applyAlignment="1" applyProtection="1">
      <alignment vertical="center"/>
      <protection hidden="1"/>
    </xf>
    <xf numFmtId="44" fontId="7" fillId="31" borderId="46" xfId="0" applyNumberFormat="1" applyFont="1" applyFill="1" applyBorder="1" applyAlignment="1" applyProtection="1">
      <alignment horizontal="center" shrinkToFit="1"/>
      <protection hidden="1"/>
    </xf>
    <xf numFmtId="0" fontId="4" fillId="3" borderId="28" xfId="0" applyFont="1" applyFill="1" applyBorder="1" applyAlignment="1" applyProtection="1">
      <alignment vertical="center"/>
      <protection hidden="1"/>
    </xf>
    <xf numFmtId="0" fontId="4" fillId="3" borderId="3" xfId="0" applyFont="1" applyFill="1" applyBorder="1" applyAlignment="1" applyProtection="1">
      <alignment vertical="center"/>
      <protection hidden="1"/>
    </xf>
    <xf numFmtId="44" fontId="4" fillId="3" borderId="3" xfId="0" applyNumberFormat="1" applyFont="1" applyFill="1" applyBorder="1" applyAlignment="1" applyProtection="1">
      <alignment vertical="center"/>
      <protection hidden="1"/>
    </xf>
    <xf numFmtId="9" fontId="4" fillId="3" borderId="3" xfId="0" applyNumberFormat="1" applyFont="1" applyFill="1" applyBorder="1" applyAlignment="1" applyProtection="1">
      <alignment horizontal="center" vertical="center"/>
      <protection hidden="1"/>
    </xf>
    <xf numFmtId="44" fontId="4" fillId="3" borderId="32" xfId="0" applyNumberFormat="1" applyFont="1" applyFill="1" applyBorder="1" applyAlignment="1" applyProtection="1">
      <alignment vertical="center"/>
      <protection hidden="1"/>
    </xf>
    <xf numFmtId="0" fontId="3" fillId="3" borderId="28" xfId="0" applyFont="1" applyFill="1" applyBorder="1" applyAlignment="1" applyProtection="1">
      <alignment vertical="center"/>
      <protection hidden="1"/>
    </xf>
    <xf numFmtId="44" fontId="7" fillId="3" borderId="47" xfId="0" applyNumberFormat="1" applyFont="1" applyFill="1" applyBorder="1" applyAlignment="1" applyProtection="1">
      <alignment horizontal="center" shrinkToFit="1"/>
      <protection hidden="1"/>
    </xf>
    <xf numFmtId="0" fontId="33" fillId="2" borderId="36" xfId="0" applyFont="1" applyFill="1" applyBorder="1" applyAlignment="1" applyProtection="1">
      <alignment horizontal="right"/>
      <protection hidden="1"/>
    </xf>
    <xf numFmtId="0" fontId="9" fillId="2" borderId="17" xfId="0" applyFont="1" applyFill="1" applyBorder="1" applyProtection="1">
      <protection hidden="1"/>
    </xf>
    <xf numFmtId="44" fontId="9" fillId="2" borderId="17" xfId="0" applyNumberFormat="1" applyFont="1" applyFill="1" applyBorder="1" applyProtection="1">
      <protection hidden="1"/>
    </xf>
    <xf numFmtId="44" fontId="18" fillId="2" borderId="18" xfId="0" applyNumberFormat="1" applyFont="1" applyFill="1" applyBorder="1" applyProtection="1">
      <protection hidden="1"/>
    </xf>
    <xf numFmtId="0" fontId="6" fillId="2" borderId="36" xfId="0" applyFont="1" applyFill="1" applyBorder="1" applyProtection="1">
      <protection hidden="1"/>
    </xf>
    <xf numFmtId="0" fontId="6" fillId="2" borderId="17" xfId="0" applyFont="1" applyFill="1" applyBorder="1" applyProtection="1">
      <protection hidden="1"/>
    </xf>
    <xf numFmtId="44" fontId="34" fillId="2" borderId="48" xfId="0" applyNumberFormat="1" applyFont="1" applyFill="1" applyBorder="1" applyProtection="1">
      <protection hidden="1"/>
    </xf>
    <xf numFmtId="0" fontId="8" fillId="3" borderId="2" xfId="0" applyFont="1" applyFill="1" applyBorder="1" applyProtection="1">
      <protection hidden="1"/>
    </xf>
    <xf numFmtId="44" fontId="8" fillId="3" borderId="2" xfId="0" applyNumberFormat="1" applyFont="1" applyFill="1" applyBorder="1" applyAlignment="1" applyProtection="1">
      <alignment horizontal="center" vertical="center" shrinkToFit="1"/>
      <protection hidden="1"/>
    </xf>
    <xf numFmtId="0" fontId="37" fillId="12" borderId="28" xfId="0" applyFont="1" applyFill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/>
      <protection hidden="1"/>
    </xf>
    <xf numFmtId="0" fontId="2" fillId="3" borderId="2" xfId="0" applyFont="1" applyFill="1" applyBorder="1" applyProtection="1"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4" fillId="3" borderId="2" xfId="0" applyFont="1" applyFill="1" applyBorder="1" applyAlignment="1" applyProtection="1">
      <alignment horizontal="left" wrapText="1"/>
      <protection hidden="1"/>
    </xf>
    <xf numFmtId="0" fontId="23" fillId="0" borderId="0" xfId="0" applyFont="1" applyAlignment="1" applyProtection="1">
      <alignment wrapText="1"/>
      <protection hidden="1"/>
    </xf>
    <xf numFmtId="0" fontId="40" fillId="3" borderId="2" xfId="0" applyFont="1" applyFill="1" applyBorder="1" applyAlignment="1" applyProtection="1">
      <alignment horizontal="center" vertical="center" wrapText="1"/>
      <protection hidden="1"/>
    </xf>
    <xf numFmtId="9" fontId="8" fillId="0" borderId="0" xfId="0" applyNumberFormat="1" applyFont="1" applyProtection="1">
      <protection hidden="1"/>
    </xf>
    <xf numFmtId="44" fontId="4" fillId="0" borderId="0" xfId="0" applyNumberFormat="1" applyFont="1" applyProtection="1">
      <protection hidden="1"/>
    </xf>
    <xf numFmtId="44" fontId="4" fillId="0" borderId="0" xfId="0" applyNumberFormat="1" applyFont="1" applyAlignment="1" applyProtection="1">
      <alignment shrinkToFit="1"/>
      <protection hidden="1"/>
    </xf>
    <xf numFmtId="0" fontId="4" fillId="0" borderId="0" xfId="0" applyFont="1" applyProtection="1">
      <protection hidden="1"/>
    </xf>
    <xf numFmtId="44" fontId="8" fillId="3" borderId="2" xfId="0" applyNumberFormat="1" applyFont="1" applyFill="1" applyBorder="1" applyAlignment="1" applyProtection="1">
      <alignment horizontal="center" shrinkToFi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44" fontId="23" fillId="3" borderId="2" xfId="0" applyNumberFormat="1" applyFont="1" applyFill="1" applyBorder="1" applyAlignment="1" applyProtection="1">
      <alignment horizontal="center" shrinkToFit="1"/>
      <protection hidden="1"/>
    </xf>
    <xf numFmtId="44" fontId="41" fillId="3" borderId="2" xfId="0" applyNumberFormat="1" applyFont="1" applyFill="1" applyBorder="1" applyProtection="1">
      <protection hidden="1"/>
    </xf>
    <xf numFmtId="0" fontId="1" fillId="0" borderId="0" xfId="0" applyFont="1" applyProtection="1">
      <protection hidden="1"/>
    </xf>
    <xf numFmtId="0" fontId="19" fillId="7" borderId="42" xfId="0" applyFont="1" applyFill="1" applyBorder="1" applyAlignment="1" applyProtection="1">
      <alignment horizontal="left" vertical="center"/>
      <protection hidden="1"/>
    </xf>
    <xf numFmtId="0" fontId="20" fillId="7" borderId="15" xfId="0" applyFont="1" applyFill="1" applyBorder="1" applyAlignment="1" applyProtection="1">
      <alignment horizontal="left" vertical="center"/>
      <protection hidden="1"/>
    </xf>
    <xf numFmtId="0" fontId="27" fillId="19" borderId="42" xfId="0" applyFont="1" applyFill="1" applyBorder="1" applyAlignment="1" applyProtection="1">
      <alignment horizontal="left" vertical="center" wrapText="1"/>
      <protection hidden="1"/>
    </xf>
    <xf numFmtId="0" fontId="20" fillId="19" borderId="15" xfId="0" applyFont="1" applyFill="1" applyBorder="1" applyAlignment="1" applyProtection="1">
      <alignment horizontal="left" vertical="center"/>
      <protection hidden="1"/>
    </xf>
    <xf numFmtId="0" fontId="5" fillId="3" borderId="15" xfId="0" applyFont="1" applyFill="1" applyBorder="1" applyAlignment="1" applyProtection="1">
      <alignment vertical="center" wrapText="1"/>
      <protection hidden="1"/>
    </xf>
    <xf numFmtId="0" fontId="5" fillId="4" borderId="15" xfId="0" applyFont="1" applyFill="1" applyBorder="1" applyAlignment="1" applyProtection="1">
      <alignment vertical="center" wrapText="1"/>
      <protection hidden="1"/>
    </xf>
    <xf numFmtId="0" fontId="5" fillId="4" borderId="39" xfId="0" applyFont="1" applyFill="1" applyBorder="1" applyAlignment="1" applyProtection="1">
      <alignment vertical="center" wrapText="1"/>
      <protection hidden="1"/>
    </xf>
    <xf numFmtId="0" fontId="7" fillId="3" borderId="15" xfId="0" applyFont="1" applyFill="1" applyBorder="1" applyAlignment="1" applyProtection="1">
      <alignment horizontal="right"/>
      <protection hidden="1"/>
    </xf>
    <xf numFmtId="0" fontId="27" fillId="23" borderId="42" xfId="0" applyFont="1" applyFill="1" applyBorder="1" applyAlignment="1" applyProtection="1">
      <alignment horizontal="left" vertical="top"/>
      <protection hidden="1"/>
    </xf>
    <xf numFmtId="0" fontId="20" fillId="23" borderId="15" xfId="0" applyFont="1" applyFill="1" applyBorder="1" applyAlignment="1" applyProtection="1">
      <alignment horizontal="left" vertical="top"/>
      <protection hidden="1"/>
    </xf>
    <xf numFmtId="0" fontId="27" fillId="27" borderId="42" xfId="0" applyFont="1" applyFill="1" applyBorder="1" applyAlignment="1" applyProtection="1">
      <alignment horizontal="left" vertical="center"/>
      <protection hidden="1"/>
    </xf>
    <xf numFmtId="0" fontId="20" fillId="27" borderId="15" xfId="0" applyFont="1" applyFill="1" applyBorder="1" applyAlignment="1" applyProtection="1">
      <alignment horizontal="left" vertical="center"/>
      <protection hidden="1"/>
    </xf>
    <xf numFmtId="0" fontId="19" fillId="30" borderId="42" xfId="0" applyFont="1" applyFill="1" applyBorder="1" applyAlignment="1" applyProtection="1">
      <alignment vertical="center"/>
      <protection hidden="1"/>
    </xf>
    <xf numFmtId="0" fontId="19" fillId="30" borderId="15" xfId="0" applyFont="1" applyFill="1" applyBorder="1" applyAlignment="1" applyProtection="1">
      <alignment vertical="center"/>
      <protection hidden="1"/>
    </xf>
    <xf numFmtId="0" fontId="4" fillId="31" borderId="15" xfId="0" applyFont="1" applyFill="1" applyBorder="1" applyAlignment="1" applyProtection="1">
      <alignment vertical="center"/>
      <protection hidden="1"/>
    </xf>
    <xf numFmtId="0" fontId="4" fillId="3" borderId="39" xfId="0" applyFont="1" applyFill="1" applyBorder="1" applyAlignment="1" applyProtection="1">
      <alignment vertical="center"/>
      <protection hidden="1"/>
    </xf>
    <xf numFmtId="0" fontId="33" fillId="2" borderId="35" xfId="0" applyFont="1" applyFill="1" applyBorder="1" applyAlignment="1" applyProtection="1">
      <alignment horizontal="right"/>
      <protection hidden="1"/>
    </xf>
    <xf numFmtId="0" fontId="20" fillId="11" borderId="43" xfId="0" applyFont="1" applyFill="1" applyBorder="1" applyAlignment="1" applyProtection="1">
      <alignment horizontal="left" vertical="center" wrapText="1"/>
      <protection hidden="1"/>
    </xf>
    <xf numFmtId="0" fontId="37" fillId="12" borderId="40" xfId="0" applyFont="1" applyFill="1" applyBorder="1" applyAlignment="1" applyProtection="1">
      <alignment horizontal="center" vertical="top" wrapText="1" readingOrder="1"/>
      <protection hidden="1"/>
    </xf>
    <xf numFmtId="0" fontId="16" fillId="11" borderId="24" xfId="0" applyFont="1" applyFill="1" applyBorder="1" applyAlignment="1" applyProtection="1">
      <alignment vertical="center" wrapText="1"/>
      <protection hidden="1"/>
    </xf>
    <xf numFmtId="44" fontId="4" fillId="3" borderId="44" xfId="0" applyNumberFormat="1" applyFont="1" applyFill="1" applyBorder="1" applyAlignment="1" applyProtection="1">
      <alignment horizontal="center" vertical="center" shrinkToFit="1"/>
      <protection hidden="1"/>
    </xf>
    <xf numFmtId="0" fontId="4" fillId="3" borderId="43" xfId="0" applyFont="1" applyFill="1" applyBorder="1" applyAlignment="1" applyProtection="1">
      <alignment horizontal="center" vertical="center" shrinkToFit="1"/>
      <protection hidden="1"/>
    </xf>
    <xf numFmtId="0" fontId="4" fillId="4" borderId="43" xfId="0" applyFont="1" applyFill="1" applyBorder="1" applyAlignment="1" applyProtection="1">
      <alignment horizontal="center" vertical="center" shrinkToFit="1"/>
      <protection hidden="1"/>
    </xf>
    <xf numFmtId="0" fontId="5" fillId="12" borderId="37" xfId="0" applyFont="1" applyFill="1" applyBorder="1" applyAlignment="1" applyProtection="1">
      <alignment horizontal="left" vertical="top" shrinkToFit="1" readingOrder="1"/>
      <protection locked="0"/>
    </xf>
    <xf numFmtId="0" fontId="5" fillId="13" borderId="37" xfId="0" applyFont="1" applyFill="1" applyBorder="1" applyAlignment="1" applyProtection="1">
      <alignment horizontal="left" vertical="top" shrinkToFit="1" readingOrder="1"/>
      <protection locked="0"/>
    </xf>
    <xf numFmtId="0" fontId="7" fillId="0" borderId="7" xfId="0" applyFont="1" applyBorder="1" applyAlignment="1" applyProtection="1">
      <alignment horizontal="right" vertical="center"/>
      <protection hidden="1"/>
    </xf>
    <xf numFmtId="0" fontId="4" fillId="3" borderId="58" xfId="0" applyFont="1" applyFill="1" applyBorder="1" applyAlignment="1" applyProtection="1">
      <alignment horizontal="center" vertical="center" shrinkToFit="1"/>
      <protection hidden="1"/>
    </xf>
    <xf numFmtId="0" fontId="4" fillId="4" borderId="58" xfId="0" applyFont="1" applyFill="1" applyBorder="1" applyAlignment="1" applyProtection="1">
      <alignment horizontal="center" vertical="center" shrinkToFit="1"/>
      <protection hidden="1"/>
    </xf>
    <xf numFmtId="0" fontId="4" fillId="4" borderId="57" xfId="0" applyFont="1" applyFill="1" applyBorder="1" applyAlignment="1" applyProtection="1">
      <alignment horizontal="center" vertical="center" shrinkToFit="1"/>
      <protection hidden="1"/>
    </xf>
    <xf numFmtId="0" fontId="7" fillId="3" borderId="11" xfId="0" applyFont="1" applyFill="1" applyBorder="1" applyAlignment="1" applyProtection="1">
      <alignment horizontal="center" wrapText="1"/>
      <protection hidden="1"/>
    </xf>
    <xf numFmtId="0" fontId="5" fillId="8" borderId="27" xfId="0" applyFont="1" applyFill="1" applyBorder="1" applyAlignment="1" applyProtection="1">
      <alignment horizontal="center" vertical="center"/>
      <protection hidden="1"/>
    </xf>
    <xf numFmtId="0" fontId="5" fillId="9" borderId="27" xfId="0" applyFont="1" applyFill="1" applyBorder="1" applyAlignment="1" applyProtection="1">
      <alignment horizontal="center" vertical="center"/>
      <protection hidden="1"/>
    </xf>
    <xf numFmtId="0" fontId="5" fillId="8" borderId="31" xfId="0" applyFont="1" applyFill="1" applyBorder="1" applyAlignment="1" applyProtection="1">
      <alignment horizontal="center" vertical="center"/>
      <protection hidden="1"/>
    </xf>
    <xf numFmtId="0" fontId="5" fillId="12" borderId="12" xfId="0" applyFont="1" applyFill="1" applyBorder="1" applyAlignment="1" applyProtection="1">
      <alignment horizontal="left" vertical="top" wrapText="1" readingOrder="1"/>
      <protection hidden="1"/>
    </xf>
    <xf numFmtId="0" fontId="5" fillId="12" borderId="37" xfId="0" applyFont="1" applyFill="1" applyBorder="1" applyAlignment="1" applyProtection="1">
      <alignment horizontal="left" vertical="top" shrinkToFit="1" readingOrder="1"/>
      <protection hidden="1"/>
    </xf>
    <xf numFmtId="0" fontId="5" fillId="13" borderId="12" xfId="0" applyFont="1" applyFill="1" applyBorder="1" applyAlignment="1" applyProtection="1">
      <alignment horizontal="left" vertical="top" wrapText="1" readingOrder="1"/>
      <protection hidden="1"/>
    </xf>
    <xf numFmtId="0" fontId="5" fillId="13" borderId="37" xfId="0" applyFont="1" applyFill="1" applyBorder="1" applyAlignment="1" applyProtection="1">
      <alignment horizontal="left" vertical="top" shrinkToFit="1" readingOrder="1"/>
      <protection hidden="1"/>
    </xf>
    <xf numFmtId="0" fontId="5" fillId="16" borderId="12" xfId="0" applyFont="1" applyFill="1" applyBorder="1" applyAlignment="1" applyProtection="1">
      <alignment horizontal="left" vertical="top" wrapText="1" readingOrder="1"/>
      <protection hidden="1"/>
    </xf>
    <xf numFmtId="0" fontId="5" fillId="17" borderId="12" xfId="0" applyFont="1" applyFill="1" applyBorder="1" applyAlignment="1" applyProtection="1">
      <alignment horizontal="left" vertical="top" wrapText="1" readingOrder="1"/>
      <protection hidden="1"/>
    </xf>
    <xf numFmtId="0" fontId="5" fillId="17" borderId="28" xfId="0" applyFont="1" applyFill="1" applyBorder="1" applyAlignment="1" applyProtection="1">
      <alignment horizontal="left" vertical="top" wrapText="1" readingOrder="1"/>
      <protection hidden="1"/>
    </xf>
    <xf numFmtId="0" fontId="4" fillId="5" borderId="37" xfId="0" applyFont="1" applyFill="1" applyBorder="1" applyAlignment="1" applyProtection="1">
      <alignment horizontal="center"/>
      <protection hidden="1"/>
    </xf>
    <xf numFmtId="44" fontId="4" fillId="28" borderId="2" xfId="0" applyNumberFormat="1" applyFont="1" applyFill="1" applyBorder="1" applyAlignment="1" applyProtection="1">
      <alignment horizontal="center" vertical="center" shrinkToFit="1"/>
      <protection hidden="1"/>
    </xf>
    <xf numFmtId="44" fontId="4" fillId="6" borderId="2" xfId="0" applyNumberFormat="1" applyFont="1" applyFill="1" applyBorder="1" applyAlignment="1" applyProtection="1">
      <alignment horizontal="center" vertical="center" shrinkToFit="1"/>
      <protection hidden="1"/>
    </xf>
    <xf numFmtId="44" fontId="4" fillId="6" borderId="3" xfId="0" applyNumberFormat="1" applyFont="1" applyFill="1" applyBorder="1" applyAlignment="1" applyProtection="1">
      <alignment horizontal="center" vertical="center" shrinkToFit="1"/>
      <protection hidden="1"/>
    </xf>
    <xf numFmtId="0" fontId="5" fillId="35" borderId="37" xfId="0" applyFont="1" applyFill="1" applyBorder="1" applyAlignment="1" applyProtection="1">
      <alignment horizontal="left" vertical="top" shrinkToFit="1" readingOrder="1"/>
      <protection locked="0"/>
    </xf>
    <xf numFmtId="0" fontId="5" fillId="36" borderId="37" xfId="0" applyFont="1" applyFill="1" applyBorder="1" applyAlignment="1" applyProtection="1">
      <alignment horizontal="left" vertical="top" shrinkToFit="1" readingOrder="1"/>
      <protection locked="0"/>
    </xf>
    <xf numFmtId="0" fontId="5" fillId="36" borderId="59" xfId="0" applyFont="1" applyFill="1" applyBorder="1" applyAlignment="1" applyProtection="1">
      <alignment horizontal="left" vertical="top" shrinkToFit="1" readingOrder="1"/>
      <protection locked="0"/>
    </xf>
    <xf numFmtId="0" fontId="4" fillId="3" borderId="2" xfId="0" applyFont="1" applyFill="1" applyBorder="1" applyAlignment="1" applyProtection="1">
      <alignment horizontal="left" vertical="center"/>
      <protection hidden="1"/>
    </xf>
    <xf numFmtId="0" fontId="55" fillId="0" borderId="0" xfId="0" applyFont="1" applyAlignment="1" applyProtection="1">
      <alignment vertical="center"/>
      <protection hidden="1"/>
    </xf>
    <xf numFmtId="0" fontId="58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horizontal="right"/>
      <protection hidden="1"/>
    </xf>
    <xf numFmtId="164" fontId="4" fillId="3" borderId="2" xfId="0" applyNumberFormat="1" applyFont="1" applyFill="1" applyBorder="1" applyAlignment="1" applyProtection="1">
      <alignment horizontal="right"/>
      <protection hidden="1"/>
    </xf>
    <xf numFmtId="0" fontId="56" fillId="0" borderId="0" xfId="0" applyFont="1" applyAlignment="1" applyProtection="1">
      <alignment horizontal="right"/>
      <protection hidden="1"/>
    </xf>
    <xf numFmtId="0" fontId="56" fillId="0" borderId="0" xfId="0" applyFont="1" applyProtection="1">
      <protection hidden="1"/>
    </xf>
    <xf numFmtId="44" fontId="6" fillId="0" borderId="0" xfId="2" applyFont="1" applyProtection="1">
      <protection hidden="1"/>
    </xf>
    <xf numFmtId="0" fontId="9" fillId="2" borderId="15" xfId="0" applyFont="1" applyFill="1" applyBorder="1" applyProtection="1">
      <protection hidden="1"/>
    </xf>
    <xf numFmtId="44" fontId="9" fillId="2" borderId="15" xfId="0" applyNumberFormat="1" applyFont="1" applyFill="1" applyBorder="1" applyProtection="1">
      <protection hidden="1"/>
    </xf>
    <xf numFmtId="0" fontId="9" fillId="0" borderId="50" xfId="0" applyFont="1" applyBorder="1" applyProtection="1">
      <protection hidden="1"/>
    </xf>
    <xf numFmtId="0" fontId="18" fillId="0" borderId="50" xfId="0" applyFont="1" applyBorder="1" applyAlignment="1" applyProtection="1">
      <alignment horizontal="right" vertical="top" indent="4"/>
      <protection hidden="1"/>
    </xf>
    <xf numFmtId="0" fontId="57" fillId="0" borderId="0" xfId="0" applyFont="1" applyAlignment="1" applyProtection="1">
      <alignment horizontal="center" vertical="center"/>
      <protection locked="0" hidden="1"/>
    </xf>
    <xf numFmtId="0" fontId="16" fillId="3" borderId="12" xfId="0" applyFont="1" applyFill="1" applyBorder="1" applyAlignment="1" applyProtection="1">
      <alignment horizontal="right" vertical="center"/>
      <protection hidden="1"/>
    </xf>
    <xf numFmtId="0" fontId="16" fillId="0" borderId="12" xfId="0" applyFont="1" applyBorder="1" applyAlignment="1" applyProtection="1">
      <alignment horizontal="right" vertical="center"/>
      <protection hidden="1"/>
    </xf>
    <xf numFmtId="0" fontId="4" fillId="37" borderId="37" xfId="0" applyFont="1" applyFill="1" applyBorder="1" applyAlignment="1" applyProtection="1">
      <alignment horizontal="center" vertical="center" shrinkToFit="1"/>
      <protection hidden="1"/>
    </xf>
    <xf numFmtId="166" fontId="52" fillId="0" borderId="15" xfId="0" applyNumberFormat="1" applyFont="1" applyBorder="1"/>
    <xf numFmtId="166" fontId="6" fillId="0" borderId="15" xfId="0" applyNumberFormat="1" applyFont="1" applyBorder="1"/>
    <xf numFmtId="166" fontId="3" fillId="0" borderId="15" xfId="0" applyNumberFormat="1" applyFont="1" applyBorder="1"/>
    <xf numFmtId="166" fontId="3" fillId="0" borderId="15" xfId="0" applyNumberFormat="1" applyFont="1" applyBorder="1" applyAlignment="1">
      <alignment horizontal="center"/>
    </xf>
    <xf numFmtId="166" fontId="3" fillId="0" borderId="15" xfId="0" quotePrefix="1" applyNumberFormat="1" applyFont="1" applyBorder="1"/>
    <xf numFmtId="166" fontId="3" fillId="0" borderId="15" xfId="0" quotePrefix="1" applyNumberFormat="1" applyFont="1" applyBorder="1" applyAlignment="1">
      <alignment horizontal="left"/>
    </xf>
    <xf numFmtId="166" fontId="6" fillId="0" borderId="15" xfId="0" quotePrefix="1" applyNumberFormat="1" applyFont="1" applyBorder="1"/>
    <xf numFmtId="166" fontId="14" fillId="0" borderId="15" xfId="0" applyNumberFormat="1" applyFont="1" applyBorder="1" applyAlignment="1">
      <alignment vertical="center" wrapText="1"/>
    </xf>
    <xf numFmtId="166" fontId="10" fillId="0" borderId="15" xfId="0" applyNumberFormat="1" applyFont="1" applyBorder="1" applyAlignment="1">
      <alignment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vertical="center" wrapText="1"/>
    </xf>
    <xf numFmtId="166" fontId="3" fillId="0" borderId="15" xfId="0" applyNumberFormat="1" applyFont="1" applyBorder="1" applyAlignment="1">
      <alignment horizontal="left" vertical="center" wrapText="1"/>
    </xf>
    <xf numFmtId="166" fontId="6" fillId="0" borderId="15" xfId="0" applyNumberFormat="1" applyFont="1" applyBorder="1" applyAlignment="1">
      <alignment horizontal="left"/>
    </xf>
    <xf numFmtId="166" fontId="52" fillId="0" borderId="15" xfId="0" applyNumberFormat="1" applyFont="1" applyBorder="1" applyAlignment="1">
      <alignment horizontal="right"/>
    </xf>
    <xf numFmtId="166" fontId="52" fillId="0" borderId="15" xfId="0" applyNumberFormat="1" applyFont="1" applyBorder="1" applyAlignment="1">
      <alignment horizontal="left"/>
    </xf>
    <xf numFmtId="0" fontId="15" fillId="0" borderId="15" xfId="0" applyFont="1" applyBorder="1" applyAlignment="1" applyProtection="1">
      <alignment horizontal="center" wrapText="1"/>
      <protection hidden="1"/>
    </xf>
    <xf numFmtId="0" fontId="15" fillId="0" borderId="53" xfId="0" applyFont="1" applyBorder="1" applyAlignment="1" applyProtection="1">
      <alignment horizontal="center" wrapText="1"/>
      <protection hidden="1"/>
    </xf>
    <xf numFmtId="0" fontId="5" fillId="9" borderId="43" xfId="0" applyFont="1" applyFill="1" applyBorder="1" applyAlignment="1" applyProtection="1">
      <alignment horizontal="left" vertical="top" wrapText="1" readingOrder="1"/>
      <protection locked="0"/>
    </xf>
    <xf numFmtId="0" fontId="5" fillId="9" borderId="26" xfId="0" applyFont="1" applyFill="1" applyBorder="1" applyAlignment="1" applyProtection="1">
      <alignment horizontal="left" vertical="top" wrapText="1" readingOrder="1"/>
      <protection locked="0"/>
    </xf>
    <xf numFmtId="0" fontId="5" fillId="8" borderId="44" xfId="0" applyFont="1" applyFill="1" applyBorder="1" applyAlignment="1" applyProtection="1">
      <alignment horizontal="left" vertical="top" wrapText="1" readingOrder="1"/>
      <protection locked="0"/>
    </xf>
    <xf numFmtId="0" fontId="5" fillId="8" borderId="30" xfId="0" applyFont="1" applyFill="1" applyBorder="1" applyAlignment="1" applyProtection="1">
      <alignment horizontal="left" vertical="top" wrapText="1" readingOrder="1"/>
      <protection locked="0"/>
    </xf>
    <xf numFmtId="0" fontId="5" fillId="8" borderId="43" xfId="0" applyFont="1" applyFill="1" applyBorder="1" applyAlignment="1" applyProtection="1">
      <alignment horizontal="left" vertical="top" wrapText="1" readingOrder="1"/>
      <protection locked="0"/>
    </xf>
    <xf numFmtId="0" fontId="5" fillId="8" borderId="26" xfId="0" applyFont="1" applyFill="1" applyBorder="1" applyAlignment="1" applyProtection="1">
      <alignment horizontal="left" vertical="top" wrapText="1" readingOrder="1"/>
      <protection locked="0"/>
    </xf>
    <xf numFmtId="0" fontId="4" fillId="16" borderId="25" xfId="0" applyFont="1" applyFill="1" applyBorder="1" applyAlignment="1" applyProtection="1">
      <alignment horizontal="center" vertical="center"/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  <xf numFmtId="0" fontId="21" fillId="11" borderId="42" xfId="0" applyFont="1" applyFill="1" applyBorder="1" applyAlignment="1" applyProtection="1">
      <alignment horizontal="center" wrapText="1" shrinkToFit="1"/>
      <protection hidden="1"/>
    </xf>
    <xf numFmtId="0" fontId="21" fillId="11" borderId="15" xfId="0" applyFont="1" applyFill="1" applyBorder="1" applyAlignment="1" applyProtection="1">
      <alignment horizontal="center" wrapText="1" shrinkToFit="1"/>
      <protection hidden="1"/>
    </xf>
    <xf numFmtId="0" fontId="38" fillId="12" borderId="29" xfId="0" applyFont="1" applyFill="1" applyBorder="1" applyAlignment="1" applyProtection="1">
      <alignment horizontal="center" vertical="center"/>
      <protection hidden="1"/>
    </xf>
    <xf numFmtId="0" fontId="39" fillId="0" borderId="38" xfId="0" applyFont="1" applyBorder="1" applyProtection="1">
      <protection hidden="1"/>
    </xf>
    <xf numFmtId="0" fontId="39" fillId="0" borderId="39" xfId="0" applyFont="1" applyBorder="1" applyProtection="1">
      <protection hidden="1"/>
    </xf>
    <xf numFmtId="0" fontId="24" fillId="14" borderId="33" xfId="0" applyFont="1" applyFill="1" applyBorder="1" applyAlignment="1" applyProtection="1">
      <alignment horizontal="right"/>
      <protection hidden="1"/>
    </xf>
    <xf numFmtId="0" fontId="24" fillId="14" borderId="35" xfId="0" applyFont="1" applyFill="1" applyBorder="1" applyAlignment="1" applyProtection="1">
      <alignment horizontal="right"/>
      <protection hidden="1"/>
    </xf>
    <xf numFmtId="0" fontId="12" fillId="0" borderId="34" xfId="0" applyFont="1" applyBorder="1" applyProtection="1">
      <protection hidden="1"/>
    </xf>
    <xf numFmtId="0" fontId="12" fillId="0" borderId="35" xfId="0" applyFont="1" applyBorder="1" applyProtection="1">
      <protection hidden="1"/>
    </xf>
    <xf numFmtId="0" fontId="20" fillId="15" borderId="21" xfId="0" applyFont="1" applyFill="1" applyBorder="1" applyAlignment="1" applyProtection="1">
      <alignment horizontal="center" vertical="center"/>
      <protection hidden="1"/>
    </xf>
    <xf numFmtId="0" fontId="12" fillId="0" borderId="22" xfId="0" applyFont="1" applyBorder="1" applyProtection="1">
      <protection hidden="1"/>
    </xf>
    <xf numFmtId="0" fontId="12" fillId="0" borderId="23" xfId="0" applyFont="1" applyBorder="1" applyProtection="1">
      <protection hidden="1"/>
    </xf>
    <xf numFmtId="0" fontId="16" fillId="11" borderId="13" xfId="0" applyFont="1" applyFill="1" applyBorder="1" applyAlignment="1" applyProtection="1">
      <alignment horizontal="center" vertical="center" wrapText="1"/>
      <protection hidden="1"/>
    </xf>
    <xf numFmtId="0" fontId="12" fillId="0" borderId="14" xfId="0" applyFont="1" applyBorder="1" applyProtection="1">
      <protection hidden="1"/>
    </xf>
    <xf numFmtId="0" fontId="12" fillId="0" borderId="15" xfId="0" applyFont="1" applyBorder="1" applyProtection="1">
      <protection hidden="1"/>
    </xf>
    <xf numFmtId="0" fontId="4" fillId="12" borderId="25" xfId="0" applyFont="1" applyFill="1" applyBorder="1" applyAlignment="1" applyProtection="1">
      <alignment horizontal="center" vertical="center"/>
      <protection locked="0"/>
    </xf>
    <xf numFmtId="0" fontId="4" fillId="13" borderId="25" xfId="0" applyFont="1" applyFill="1" applyBorder="1" applyAlignment="1" applyProtection="1">
      <alignment horizontal="center" vertical="center"/>
      <protection locked="0"/>
    </xf>
    <xf numFmtId="0" fontId="4" fillId="17" borderId="25" xfId="0" applyFont="1" applyFill="1" applyBorder="1" applyAlignment="1" applyProtection="1">
      <alignment horizontal="center" vertical="center"/>
      <protection locked="0"/>
    </xf>
    <xf numFmtId="0" fontId="5" fillId="25" borderId="25" xfId="0" applyFont="1" applyFill="1" applyBorder="1" applyAlignment="1" applyProtection="1">
      <alignment horizontal="center" vertical="center" wrapText="1"/>
      <protection locked="0"/>
    </xf>
    <xf numFmtId="0" fontId="12" fillId="0" borderId="26" xfId="0" applyFont="1" applyBorder="1" applyProtection="1">
      <protection locked="0"/>
    </xf>
    <xf numFmtId="0" fontId="5" fillId="24" borderId="25" xfId="0" applyFont="1" applyFill="1" applyBorder="1" applyAlignment="1" applyProtection="1">
      <alignment horizontal="center" vertical="center" wrapText="1"/>
      <protection locked="0"/>
    </xf>
    <xf numFmtId="0" fontId="5" fillId="25" borderId="29" xfId="0" applyFont="1" applyFill="1" applyBorder="1" applyAlignment="1" applyProtection="1">
      <alignment horizontal="center" vertical="center" wrapText="1"/>
      <protection locked="0"/>
    </xf>
    <xf numFmtId="0" fontId="12" fillId="0" borderId="38" xfId="0" applyFont="1" applyBorder="1" applyProtection="1">
      <protection locked="0"/>
    </xf>
    <xf numFmtId="0" fontId="12" fillId="0" borderId="30" xfId="0" applyFont="1" applyBorder="1" applyProtection="1">
      <protection locked="0"/>
    </xf>
    <xf numFmtId="0" fontId="24" fillId="26" borderId="33" xfId="0" applyFont="1" applyFill="1" applyBorder="1" applyAlignment="1" applyProtection="1">
      <alignment horizontal="right"/>
      <protection hidden="1"/>
    </xf>
    <xf numFmtId="0" fontId="24" fillId="26" borderId="35" xfId="0" applyFont="1" applyFill="1" applyBorder="1" applyAlignment="1" applyProtection="1">
      <alignment horizontal="right"/>
      <protection hidden="1"/>
    </xf>
    <xf numFmtId="0" fontId="4" fillId="5" borderId="25" xfId="0" applyFont="1" applyFill="1" applyBorder="1" applyAlignment="1" applyProtection="1">
      <alignment horizontal="center" vertical="center" shrinkToFit="1"/>
      <protection locked="0"/>
    </xf>
    <xf numFmtId="0" fontId="4" fillId="21" borderId="25" xfId="0" applyFont="1" applyFill="1" applyBorder="1" applyAlignment="1" applyProtection="1">
      <alignment horizontal="center"/>
      <protection locked="0"/>
    </xf>
    <xf numFmtId="0" fontId="2" fillId="5" borderId="25" xfId="0" applyFont="1" applyFill="1" applyBorder="1" applyAlignment="1" applyProtection="1">
      <alignment horizontal="center"/>
      <protection locked="0"/>
    </xf>
    <xf numFmtId="0" fontId="5" fillId="25" borderId="43" xfId="0" applyFont="1" applyFill="1" applyBorder="1" applyAlignment="1" applyProtection="1">
      <alignment vertical="center" wrapText="1"/>
      <protection locked="0"/>
    </xf>
    <xf numFmtId="0" fontId="5" fillId="25" borderId="26" xfId="0" applyFont="1" applyFill="1" applyBorder="1" applyAlignment="1" applyProtection="1">
      <alignment vertical="center" wrapText="1"/>
      <protection locked="0"/>
    </xf>
    <xf numFmtId="0" fontId="5" fillId="24" borderId="43" xfId="0" applyFont="1" applyFill="1" applyBorder="1" applyAlignment="1" applyProtection="1">
      <alignment vertical="center" wrapText="1"/>
      <protection locked="0"/>
    </xf>
    <xf numFmtId="0" fontId="5" fillId="24" borderId="26" xfId="0" applyFont="1" applyFill="1" applyBorder="1" applyAlignment="1" applyProtection="1">
      <alignment vertical="center" wrapText="1"/>
      <protection locked="0"/>
    </xf>
    <xf numFmtId="0" fontId="5" fillId="25" borderId="44" xfId="0" applyFont="1" applyFill="1" applyBorder="1" applyAlignment="1" applyProtection="1">
      <alignment vertical="center" wrapText="1"/>
      <protection locked="0"/>
    </xf>
    <xf numFmtId="0" fontId="5" fillId="25" borderId="30" xfId="0" applyFont="1" applyFill="1" applyBorder="1" applyAlignment="1" applyProtection="1">
      <alignment vertical="center" wrapText="1"/>
      <protection locked="0"/>
    </xf>
    <xf numFmtId="0" fontId="32" fillId="30" borderId="21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left"/>
      <protection locked="0"/>
    </xf>
    <xf numFmtId="0" fontId="12" fillId="0" borderId="9" xfId="0" applyFont="1" applyBorder="1" applyProtection="1">
      <protection locked="0"/>
    </xf>
    <xf numFmtId="165" fontId="14" fillId="3" borderId="13" xfId="0" applyNumberFormat="1" applyFont="1" applyFill="1" applyBorder="1" applyAlignment="1" applyProtection="1">
      <alignment horizontal="center"/>
      <protection hidden="1"/>
    </xf>
    <xf numFmtId="165" fontId="12" fillId="0" borderId="14" xfId="0" applyNumberFormat="1" applyFont="1" applyBorder="1" applyAlignment="1" applyProtection="1">
      <alignment horizontal="center"/>
      <protection hidden="1"/>
    </xf>
    <xf numFmtId="165" fontId="12" fillId="0" borderId="15" xfId="0" applyNumberFormat="1" applyFont="1" applyBorder="1" applyAlignment="1" applyProtection="1">
      <alignment horizontal="center"/>
      <protection hidden="1"/>
    </xf>
    <xf numFmtId="0" fontId="11" fillId="32" borderId="49" xfId="0" applyFont="1" applyFill="1" applyBorder="1" applyAlignment="1" applyProtection="1">
      <alignment horizontal="center" vertical="center" wrapText="1"/>
      <protection hidden="1"/>
    </xf>
    <xf numFmtId="0" fontId="11" fillId="32" borderId="50" xfId="0" applyFont="1" applyFill="1" applyBorder="1" applyAlignment="1" applyProtection="1">
      <alignment horizontal="center" vertical="center" wrapText="1"/>
      <protection hidden="1"/>
    </xf>
    <xf numFmtId="0" fontId="11" fillId="32" borderId="51" xfId="0" applyFont="1" applyFill="1" applyBorder="1" applyAlignment="1" applyProtection="1">
      <alignment horizontal="center" vertical="center" wrapText="1"/>
      <protection hidden="1"/>
    </xf>
    <xf numFmtId="0" fontId="11" fillId="32" borderId="52" xfId="0" applyFont="1" applyFill="1" applyBorder="1" applyAlignment="1" applyProtection="1">
      <alignment horizontal="center" vertical="center" wrapText="1"/>
      <protection hidden="1"/>
    </xf>
    <xf numFmtId="0" fontId="11" fillId="32" borderId="15" xfId="0" applyFont="1" applyFill="1" applyBorder="1" applyAlignment="1" applyProtection="1">
      <alignment horizontal="center" vertical="center" wrapText="1"/>
      <protection hidden="1"/>
    </xf>
    <xf numFmtId="0" fontId="11" fillId="32" borderId="53" xfId="0" applyFont="1" applyFill="1" applyBorder="1" applyAlignment="1" applyProtection="1">
      <alignment horizontal="center" vertical="center" wrapText="1"/>
      <protection hidden="1"/>
    </xf>
    <xf numFmtId="0" fontId="11" fillId="32" borderId="54" xfId="0" applyFont="1" applyFill="1" applyBorder="1" applyAlignment="1" applyProtection="1">
      <alignment horizontal="center" vertical="center" wrapText="1"/>
      <protection hidden="1"/>
    </xf>
    <xf numFmtId="0" fontId="11" fillId="32" borderId="55" xfId="0" applyFont="1" applyFill="1" applyBorder="1" applyAlignment="1" applyProtection="1">
      <alignment horizontal="center" vertical="center" wrapText="1"/>
      <protection hidden="1"/>
    </xf>
    <xf numFmtId="0" fontId="11" fillId="32" borderId="56" xfId="0" applyFont="1" applyFill="1" applyBorder="1" applyAlignment="1" applyProtection="1">
      <alignment horizontal="center" vertical="center" wrapText="1"/>
      <protection hidden="1"/>
    </xf>
    <xf numFmtId="0" fontId="11" fillId="33" borderId="52" xfId="0" applyFont="1" applyFill="1" applyBorder="1" applyAlignment="1" applyProtection="1">
      <alignment horizontal="center" vertical="center" wrapText="1"/>
      <protection hidden="1"/>
    </xf>
    <xf numFmtId="0" fontId="11" fillId="33" borderId="15" xfId="0" applyFont="1" applyFill="1" applyBorder="1" applyAlignment="1" applyProtection="1">
      <alignment horizontal="center" vertical="center" wrapText="1"/>
      <protection hidden="1"/>
    </xf>
    <xf numFmtId="0" fontId="11" fillId="33" borderId="53" xfId="0" applyFont="1" applyFill="1" applyBorder="1" applyAlignment="1" applyProtection="1">
      <alignment horizontal="center" vertical="center" wrapText="1"/>
      <protection hidden="1"/>
    </xf>
    <xf numFmtId="0" fontId="11" fillId="33" borderId="54" xfId="0" applyFont="1" applyFill="1" applyBorder="1" applyAlignment="1" applyProtection="1">
      <alignment horizontal="center" vertical="center" wrapText="1"/>
      <protection hidden="1"/>
    </xf>
    <xf numFmtId="0" fontId="11" fillId="33" borderId="55" xfId="0" applyFont="1" applyFill="1" applyBorder="1" applyAlignment="1" applyProtection="1">
      <alignment horizontal="center" vertical="center" wrapText="1"/>
      <protection hidden="1"/>
    </xf>
    <xf numFmtId="0" fontId="11" fillId="33" borderId="56" xfId="0" applyFont="1" applyFill="1" applyBorder="1" applyAlignment="1" applyProtection="1">
      <alignment horizontal="center" vertical="center" wrapText="1"/>
      <protection hidden="1"/>
    </xf>
    <xf numFmtId="165" fontId="14" fillId="3" borderId="13" xfId="0" applyNumberFormat="1" applyFont="1" applyFill="1" applyBorder="1" applyAlignment="1" applyProtection="1">
      <alignment horizontal="center" vertical="center"/>
      <protection hidden="1"/>
    </xf>
    <xf numFmtId="165" fontId="12" fillId="0" borderId="14" xfId="0" applyNumberFormat="1" applyFont="1" applyBorder="1" applyAlignment="1" applyProtection="1">
      <alignment horizontal="center" vertical="center"/>
      <protection hidden="1"/>
    </xf>
    <xf numFmtId="165" fontId="12" fillId="0" borderId="15" xfId="0" applyNumberFormat="1" applyFont="1" applyBorder="1" applyAlignment="1" applyProtection="1">
      <alignment horizontal="center" vertical="center"/>
      <protection hidden="1"/>
    </xf>
    <xf numFmtId="0" fontId="20" fillId="7" borderId="21" xfId="0" applyFont="1" applyFill="1" applyBorder="1" applyAlignment="1" applyProtection="1">
      <alignment horizontal="center" vertical="center"/>
      <protection hidden="1"/>
    </xf>
    <xf numFmtId="0" fontId="16" fillId="7" borderId="24" xfId="0" applyFont="1" applyFill="1" applyBorder="1" applyAlignment="1" applyProtection="1">
      <alignment horizontal="center" vertical="center" wrapText="1"/>
      <protection hidden="1"/>
    </xf>
    <xf numFmtId="0" fontId="45" fillId="7" borderId="45" xfId="0" applyFont="1" applyFill="1" applyBorder="1" applyAlignment="1" applyProtection="1">
      <alignment horizontal="center" vertical="center" wrapText="1"/>
      <protection hidden="1"/>
    </xf>
    <xf numFmtId="0" fontId="46" fillId="0" borderId="46" xfId="0" applyFont="1" applyBorder="1" applyProtection="1">
      <protection hidden="1"/>
    </xf>
    <xf numFmtId="0" fontId="16" fillId="7" borderId="13" xfId="0" applyFont="1" applyFill="1" applyBorder="1" applyAlignment="1" applyProtection="1">
      <alignment horizontal="center" vertical="center"/>
      <protection hidden="1"/>
    </xf>
    <xf numFmtId="0" fontId="5" fillId="8" borderId="25" xfId="0" applyFont="1" applyFill="1" applyBorder="1" applyAlignment="1" applyProtection="1">
      <alignment horizontal="center" vertical="center"/>
      <protection locked="0"/>
    </xf>
    <xf numFmtId="0" fontId="5" fillId="9" borderId="25" xfId="0" applyFont="1" applyFill="1" applyBorder="1" applyAlignment="1" applyProtection="1">
      <alignment horizontal="center" vertical="center"/>
      <protection locked="0"/>
    </xf>
    <xf numFmtId="0" fontId="20" fillId="11" borderId="21" xfId="0" applyFont="1" applyFill="1" applyBorder="1" applyAlignment="1" applyProtection="1">
      <alignment horizontal="center" vertical="center" wrapText="1"/>
      <protection hidden="1"/>
    </xf>
    <xf numFmtId="0" fontId="31" fillId="11" borderId="45" xfId="0" applyFont="1" applyFill="1" applyBorder="1" applyAlignment="1" applyProtection="1">
      <alignment horizontal="center" vertical="center" wrapText="1"/>
      <protection hidden="1"/>
    </xf>
    <xf numFmtId="0" fontId="43" fillId="0" borderId="46" xfId="0" applyFont="1" applyBorder="1" applyProtection="1">
      <protection hidden="1"/>
    </xf>
    <xf numFmtId="0" fontId="5" fillId="8" borderId="29" xfId="0" applyFont="1" applyFill="1" applyBorder="1" applyAlignment="1" applyProtection="1">
      <alignment horizontal="center" vertical="center"/>
      <protection locked="0"/>
    </xf>
    <xf numFmtId="0" fontId="24" fillId="10" borderId="33" xfId="0" applyFont="1" applyFill="1" applyBorder="1" applyAlignment="1" applyProtection="1">
      <alignment horizontal="right"/>
      <protection hidden="1"/>
    </xf>
    <xf numFmtId="0" fontId="24" fillId="10" borderId="35" xfId="0" applyFont="1" applyFill="1" applyBorder="1" applyAlignment="1" applyProtection="1">
      <alignment horizontal="right"/>
      <protection hidden="1"/>
    </xf>
    <xf numFmtId="0" fontId="20" fillId="11" borderId="21" xfId="0" applyFont="1" applyFill="1" applyBorder="1" applyAlignment="1" applyProtection="1">
      <alignment horizontal="center" vertical="center"/>
      <protection hidden="1"/>
    </xf>
    <xf numFmtId="0" fontId="20" fillId="15" borderId="21" xfId="0" applyFont="1" applyFill="1" applyBorder="1" applyAlignment="1" applyProtection="1">
      <alignment horizontal="center" vertical="center" wrapText="1"/>
      <protection hidden="1"/>
    </xf>
    <xf numFmtId="0" fontId="31" fillId="15" borderId="45" xfId="0" applyFont="1" applyFill="1" applyBorder="1" applyAlignment="1" applyProtection="1">
      <alignment horizontal="center" vertical="center" wrapText="1"/>
      <protection hidden="1"/>
    </xf>
    <xf numFmtId="0" fontId="44" fillId="0" borderId="46" xfId="0" applyFont="1" applyBorder="1" applyProtection="1">
      <protection hidden="1"/>
    </xf>
    <xf numFmtId="0" fontId="16" fillId="15" borderId="13" xfId="0" applyFont="1" applyFill="1" applyBorder="1" applyAlignment="1" applyProtection="1">
      <alignment horizontal="center" vertical="center" wrapText="1"/>
      <protection hidden="1"/>
    </xf>
    <xf numFmtId="0" fontId="31" fillId="23" borderId="45" xfId="0" applyFont="1" applyFill="1" applyBorder="1" applyAlignment="1" applyProtection="1">
      <alignment horizontal="center" vertical="center" wrapText="1"/>
      <protection hidden="1"/>
    </xf>
    <xf numFmtId="0" fontId="31" fillId="27" borderId="45" xfId="0" applyFont="1" applyFill="1" applyBorder="1" applyAlignment="1" applyProtection="1">
      <alignment horizontal="center" vertical="center" wrapText="1"/>
      <protection hidden="1"/>
    </xf>
    <xf numFmtId="0" fontId="16" fillId="19" borderId="13" xfId="0" applyFont="1" applyFill="1" applyBorder="1" applyAlignment="1" applyProtection="1">
      <alignment horizontal="center"/>
      <protection hidden="1"/>
    </xf>
    <xf numFmtId="0" fontId="24" fillId="22" borderId="33" xfId="0" applyFont="1" applyFill="1" applyBorder="1" applyAlignment="1" applyProtection="1">
      <alignment horizontal="right"/>
      <protection hidden="1"/>
    </xf>
    <xf numFmtId="0" fontId="24" fillId="22" borderId="35" xfId="0" applyFont="1" applyFill="1" applyBorder="1" applyAlignment="1" applyProtection="1">
      <alignment horizontal="right"/>
      <protection hidden="1"/>
    </xf>
    <xf numFmtId="0" fontId="31" fillId="23" borderId="21" xfId="0" applyFont="1" applyFill="1" applyBorder="1" applyAlignment="1" applyProtection="1">
      <alignment horizontal="center" vertical="top"/>
      <protection hidden="1"/>
    </xf>
    <xf numFmtId="0" fontId="2" fillId="21" borderId="29" xfId="0" applyFont="1" applyFill="1" applyBorder="1" applyAlignment="1" applyProtection="1">
      <alignment horizontal="center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Protection="1">
      <protection locked="0" hidden="1"/>
    </xf>
    <xf numFmtId="0" fontId="12" fillId="0" borderId="26" xfId="0" applyFont="1" applyBorder="1" applyProtection="1">
      <protection locked="0" hidden="1"/>
    </xf>
    <xf numFmtId="0" fontId="31" fillId="30" borderId="45" xfId="0" applyFont="1" applyFill="1" applyBorder="1" applyAlignment="1" applyProtection="1">
      <alignment horizontal="center" vertical="center" wrapText="1"/>
      <protection hidden="1"/>
    </xf>
    <xf numFmtId="0" fontId="4" fillId="17" borderId="29" xfId="0" applyFont="1" applyFill="1" applyBorder="1" applyAlignment="1" applyProtection="1">
      <alignment horizontal="center" vertical="center"/>
      <protection locked="0"/>
    </xf>
    <xf numFmtId="0" fontId="12" fillId="0" borderId="39" xfId="0" applyFont="1" applyBorder="1" applyProtection="1">
      <protection locked="0"/>
    </xf>
    <xf numFmtId="0" fontId="24" fillId="18" borderId="33" xfId="0" applyFont="1" applyFill="1" applyBorder="1" applyAlignment="1" applyProtection="1">
      <alignment horizontal="right"/>
      <protection hidden="1"/>
    </xf>
    <xf numFmtId="0" fontId="24" fillId="18" borderId="35" xfId="0" applyFont="1" applyFill="1" applyBorder="1" applyAlignment="1" applyProtection="1">
      <alignment horizontal="right"/>
      <protection hidden="1"/>
    </xf>
    <xf numFmtId="0" fontId="20" fillId="19" borderId="21" xfId="0" applyFont="1" applyFill="1" applyBorder="1" applyAlignment="1" applyProtection="1">
      <alignment horizontal="center" vertical="center"/>
      <protection hidden="1"/>
    </xf>
    <xf numFmtId="0" fontId="20" fillId="19" borderId="21" xfId="0" applyFont="1" applyFill="1" applyBorder="1" applyAlignment="1" applyProtection="1">
      <alignment horizontal="center" vertical="center" wrapText="1"/>
      <protection hidden="1"/>
    </xf>
    <xf numFmtId="0" fontId="31" fillId="19" borderId="45" xfId="0" applyFont="1" applyFill="1" applyBorder="1" applyAlignment="1" applyProtection="1">
      <alignment horizontal="center" vertical="center" wrapText="1"/>
      <protection hidden="1"/>
    </xf>
    <xf numFmtId="0" fontId="16" fillId="19" borderId="13" xfId="0" applyFont="1" applyFill="1" applyBorder="1" applyAlignment="1" applyProtection="1">
      <alignment horizontal="center" vertical="center" wrapText="1"/>
      <protection hidden="1"/>
    </xf>
    <xf numFmtId="0" fontId="16" fillId="23" borderId="13" xfId="0" applyFont="1" applyFill="1" applyBorder="1" applyAlignment="1" applyProtection="1">
      <alignment horizontal="center" vertical="center" wrapText="1"/>
      <protection hidden="1"/>
    </xf>
    <xf numFmtId="0" fontId="16" fillId="27" borderId="13" xfId="0" applyFont="1" applyFill="1" applyBorder="1" applyAlignment="1" applyProtection="1">
      <alignment horizontal="center" vertical="center" wrapText="1"/>
      <protection hidden="1"/>
    </xf>
    <xf numFmtId="0" fontId="5" fillId="28" borderId="25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 applyAlignment="1" applyProtection="1">
      <alignment horizontal="center" vertical="center" wrapText="1"/>
      <protection locked="0"/>
    </xf>
    <xf numFmtId="0" fontId="5" fillId="6" borderId="29" xfId="0" applyFont="1" applyFill="1" applyBorder="1" applyAlignment="1" applyProtection="1">
      <alignment horizontal="center" vertical="center" wrapText="1"/>
      <protection locked="0"/>
    </xf>
    <xf numFmtId="0" fontId="24" fillId="29" borderId="33" xfId="0" applyFont="1" applyFill="1" applyBorder="1" applyAlignment="1" applyProtection="1">
      <alignment horizontal="right"/>
      <protection hidden="1"/>
    </xf>
    <xf numFmtId="0" fontId="24" fillId="29" borderId="35" xfId="0" applyFont="1" applyFill="1" applyBorder="1" applyAlignment="1" applyProtection="1">
      <alignment horizontal="right"/>
      <protection hidden="1"/>
    </xf>
    <xf numFmtId="0" fontId="5" fillId="28" borderId="43" xfId="0" applyFont="1" applyFill="1" applyBorder="1" applyAlignment="1" applyProtection="1">
      <alignment vertical="center" wrapText="1"/>
      <protection locked="0"/>
    </xf>
    <xf numFmtId="0" fontId="5" fillId="28" borderId="26" xfId="0" applyFont="1" applyFill="1" applyBorder="1" applyAlignment="1" applyProtection="1">
      <alignment vertical="center" wrapText="1"/>
      <protection locked="0"/>
    </xf>
    <xf numFmtId="0" fontId="5" fillId="6" borderId="43" xfId="0" applyFont="1" applyFill="1" applyBorder="1" applyAlignment="1" applyProtection="1">
      <alignment vertical="center" wrapText="1"/>
      <protection locked="0"/>
    </xf>
    <xf numFmtId="0" fontId="5" fillId="6" borderId="26" xfId="0" applyFont="1" applyFill="1" applyBorder="1" applyAlignment="1" applyProtection="1">
      <alignment vertical="center" wrapText="1"/>
      <protection locked="0"/>
    </xf>
    <xf numFmtId="0" fontId="5" fillId="6" borderId="44" xfId="0" applyFont="1" applyFill="1" applyBorder="1" applyAlignment="1" applyProtection="1">
      <alignment vertical="center" wrapText="1"/>
      <protection locked="0"/>
    </xf>
    <xf numFmtId="0" fontId="5" fillId="6" borderId="30" xfId="0" applyFont="1" applyFill="1" applyBorder="1" applyAlignment="1" applyProtection="1">
      <alignment vertical="center" wrapText="1"/>
      <protection locked="0"/>
    </xf>
    <xf numFmtId="0" fontId="49" fillId="0" borderId="15" xfId="0" applyFont="1" applyBorder="1" applyAlignment="1" applyProtection="1">
      <alignment horizontal="right" vertical="center" wrapText="1"/>
      <protection hidden="1"/>
    </xf>
    <xf numFmtId="0" fontId="51" fillId="0" borderId="15" xfId="0" applyFont="1" applyBorder="1" applyAlignment="1" applyProtection="1">
      <alignment horizontal="center" wrapText="1"/>
      <protection hidden="1"/>
    </xf>
    <xf numFmtId="0" fontId="51" fillId="0" borderId="35" xfId="0" applyFont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left"/>
      <protection hidden="1"/>
    </xf>
    <xf numFmtId="0" fontId="12" fillId="0" borderId="1" xfId="0" applyFont="1" applyBorder="1" applyProtection="1">
      <protection hidden="1"/>
    </xf>
    <xf numFmtId="0" fontId="13" fillId="0" borderId="1" xfId="0" applyFont="1" applyBorder="1" applyAlignment="1" applyProtection="1">
      <alignment horizontal="left"/>
      <protection hidden="1"/>
    </xf>
    <xf numFmtId="0" fontId="13" fillId="0" borderId="9" xfId="0" applyFont="1" applyBorder="1" applyAlignment="1" applyProtection="1">
      <alignment horizontal="left"/>
      <protection hidden="1"/>
    </xf>
    <xf numFmtId="0" fontId="12" fillId="0" borderId="9" xfId="0" applyFont="1" applyBorder="1" applyProtection="1">
      <protection hidden="1"/>
    </xf>
    <xf numFmtId="0" fontId="5" fillId="8" borderId="43" xfId="0" applyFont="1" applyFill="1" applyBorder="1" applyAlignment="1" applyProtection="1">
      <alignment horizontal="left" vertical="top" wrapText="1" readingOrder="1"/>
      <protection hidden="1"/>
    </xf>
    <xf numFmtId="0" fontId="5" fillId="8" borderId="26" xfId="0" applyFont="1" applyFill="1" applyBorder="1" applyAlignment="1" applyProtection="1">
      <alignment horizontal="left" vertical="top" wrapText="1" readingOrder="1"/>
      <protection hidden="1"/>
    </xf>
    <xf numFmtId="0" fontId="5" fillId="8" borderId="25" xfId="0" applyFont="1" applyFill="1" applyBorder="1" applyAlignment="1" applyProtection="1">
      <alignment horizontal="center" vertical="center"/>
      <protection hidden="1"/>
    </xf>
    <xf numFmtId="0" fontId="12" fillId="0" borderId="26" xfId="0" applyFont="1" applyBorder="1" applyProtection="1">
      <protection hidden="1"/>
    </xf>
    <xf numFmtId="0" fontId="5" fillId="9" borderId="43" xfId="0" applyFont="1" applyFill="1" applyBorder="1" applyAlignment="1" applyProtection="1">
      <alignment horizontal="left" vertical="top" wrapText="1" readingOrder="1"/>
      <protection hidden="1"/>
    </xf>
    <xf numFmtId="0" fontId="5" fillId="9" borderId="26" xfId="0" applyFont="1" applyFill="1" applyBorder="1" applyAlignment="1" applyProtection="1">
      <alignment horizontal="left" vertical="top" wrapText="1" readingOrder="1"/>
      <protection hidden="1"/>
    </xf>
    <xf numFmtId="0" fontId="5" fillId="9" borderId="25" xfId="0" applyFont="1" applyFill="1" applyBorder="1" applyAlignment="1" applyProtection="1">
      <alignment horizontal="center" vertical="center"/>
      <protection hidden="1"/>
    </xf>
    <xf numFmtId="0" fontId="5" fillId="8" borderId="44" xfId="0" applyFont="1" applyFill="1" applyBorder="1" applyAlignment="1" applyProtection="1">
      <alignment horizontal="left" vertical="top" wrapText="1" readingOrder="1"/>
      <protection hidden="1"/>
    </xf>
    <xf numFmtId="0" fontId="5" fillId="8" borderId="30" xfId="0" applyFont="1" applyFill="1" applyBorder="1" applyAlignment="1" applyProtection="1">
      <alignment horizontal="left" vertical="top" wrapText="1" readingOrder="1"/>
      <protection hidden="1"/>
    </xf>
    <xf numFmtId="0" fontId="5" fillId="8" borderId="29" xfId="0" applyFont="1" applyFill="1" applyBorder="1" applyAlignment="1" applyProtection="1">
      <alignment horizontal="center" vertical="center"/>
      <protection hidden="1"/>
    </xf>
    <xf numFmtId="0" fontId="12" fillId="0" borderId="30" xfId="0" applyFont="1" applyBorder="1" applyProtection="1">
      <protection hidden="1"/>
    </xf>
    <xf numFmtId="0" fontId="4" fillId="13" borderId="25" xfId="0" applyFont="1" applyFill="1" applyBorder="1" applyAlignment="1" applyProtection="1">
      <alignment horizontal="center" vertical="center"/>
      <protection hidden="1"/>
    </xf>
    <xf numFmtId="0" fontId="4" fillId="12" borderId="25" xfId="0" applyFont="1" applyFill="1" applyBorder="1" applyAlignment="1" applyProtection="1">
      <alignment horizontal="center" vertical="center"/>
      <protection hidden="1"/>
    </xf>
    <xf numFmtId="0" fontId="4" fillId="16" borderId="25" xfId="0" applyFont="1" applyFill="1" applyBorder="1" applyAlignment="1" applyProtection="1">
      <alignment horizontal="center" vertical="center"/>
      <protection hidden="1"/>
    </xf>
    <xf numFmtId="0" fontId="4" fillId="17" borderId="25" xfId="0" applyFont="1" applyFill="1" applyBorder="1" applyAlignment="1" applyProtection="1">
      <alignment horizontal="center" vertical="center"/>
      <protection hidden="1"/>
    </xf>
    <xf numFmtId="0" fontId="4" fillId="17" borderId="29" xfId="0" applyFont="1" applyFill="1" applyBorder="1" applyAlignment="1" applyProtection="1">
      <alignment horizontal="center" vertical="center"/>
      <protection hidden="1"/>
    </xf>
    <xf numFmtId="0" fontId="12" fillId="0" borderId="38" xfId="0" applyFont="1" applyBorder="1" applyProtection="1">
      <protection hidden="1"/>
    </xf>
    <xf numFmtId="0" fontId="12" fillId="0" borderId="39" xfId="0" applyFont="1" applyBorder="1" applyProtection="1">
      <protection hidden="1"/>
    </xf>
    <xf numFmtId="0" fontId="4" fillId="5" borderId="25" xfId="0" applyFont="1" applyFill="1" applyBorder="1" applyAlignment="1" applyProtection="1">
      <alignment horizontal="center" vertical="center" shrinkToFit="1"/>
      <protection hidden="1"/>
    </xf>
    <xf numFmtId="0" fontId="2" fillId="5" borderId="25" xfId="0" applyFont="1" applyFill="1" applyBorder="1" applyAlignment="1" applyProtection="1">
      <alignment horizontal="center"/>
      <protection hidden="1"/>
    </xf>
    <xf numFmtId="0" fontId="4" fillId="21" borderId="25" xfId="0" applyFont="1" applyFill="1" applyBorder="1" applyAlignment="1" applyProtection="1">
      <alignment horizontal="center"/>
      <protection hidden="1"/>
    </xf>
    <xf numFmtId="0" fontId="2" fillId="21" borderId="29" xfId="0" applyFont="1" applyFill="1" applyBorder="1" applyAlignment="1" applyProtection="1">
      <alignment horizontal="center"/>
      <protection hidden="1"/>
    </xf>
    <xf numFmtId="0" fontId="5" fillId="3" borderId="25" xfId="0" applyFont="1" applyFill="1" applyBorder="1" applyAlignment="1" applyProtection="1">
      <alignment horizontal="center" vertical="center" wrapText="1"/>
      <protection hidden="1"/>
    </xf>
    <xf numFmtId="0" fontId="5" fillId="25" borderId="43" xfId="0" applyFont="1" applyFill="1" applyBorder="1" applyAlignment="1" applyProtection="1">
      <alignment vertical="center" wrapText="1"/>
      <protection hidden="1"/>
    </xf>
    <xf numFmtId="0" fontId="5" fillId="25" borderId="26" xfId="0" applyFont="1" applyFill="1" applyBorder="1" applyAlignment="1" applyProtection="1">
      <alignment vertical="center" wrapText="1"/>
      <protection hidden="1"/>
    </xf>
    <xf numFmtId="0" fontId="5" fillId="25" borderId="25" xfId="0" applyFont="1" applyFill="1" applyBorder="1" applyAlignment="1" applyProtection="1">
      <alignment horizontal="center" vertical="center" wrapText="1"/>
      <protection hidden="1"/>
    </xf>
    <xf numFmtId="0" fontId="5" fillId="24" borderId="43" xfId="0" applyFont="1" applyFill="1" applyBorder="1" applyAlignment="1" applyProtection="1">
      <alignment vertical="center" wrapText="1"/>
      <protection hidden="1"/>
    </xf>
    <xf numFmtId="0" fontId="5" fillId="24" borderId="26" xfId="0" applyFont="1" applyFill="1" applyBorder="1" applyAlignment="1" applyProtection="1">
      <alignment vertical="center" wrapText="1"/>
      <protection hidden="1"/>
    </xf>
    <xf numFmtId="0" fontId="5" fillId="24" borderId="25" xfId="0" applyFont="1" applyFill="1" applyBorder="1" applyAlignment="1" applyProtection="1">
      <alignment horizontal="center" vertical="center" wrapText="1"/>
      <protection hidden="1"/>
    </xf>
    <xf numFmtId="0" fontId="5" fillId="25" borderId="44" xfId="0" applyFont="1" applyFill="1" applyBorder="1" applyAlignment="1" applyProtection="1">
      <alignment vertical="center" wrapText="1"/>
      <protection hidden="1"/>
    </xf>
    <xf numFmtId="0" fontId="5" fillId="25" borderId="30" xfId="0" applyFont="1" applyFill="1" applyBorder="1" applyAlignment="1" applyProtection="1">
      <alignment vertical="center" wrapText="1"/>
      <protection hidden="1"/>
    </xf>
    <xf numFmtId="0" fontId="5" fillId="25" borderId="29" xfId="0" applyFont="1" applyFill="1" applyBorder="1" applyAlignment="1" applyProtection="1">
      <alignment horizontal="center" vertical="center" wrapText="1"/>
      <protection hidden="1"/>
    </xf>
    <xf numFmtId="0" fontId="5" fillId="28" borderId="43" xfId="0" applyFont="1" applyFill="1" applyBorder="1" applyAlignment="1" applyProtection="1">
      <alignment vertical="center" wrapText="1"/>
      <protection hidden="1"/>
    </xf>
    <xf numFmtId="0" fontId="5" fillId="28" borderId="26" xfId="0" applyFont="1" applyFill="1" applyBorder="1" applyAlignment="1" applyProtection="1">
      <alignment vertical="center" wrapText="1"/>
      <protection hidden="1"/>
    </xf>
    <xf numFmtId="0" fontId="5" fillId="28" borderId="25" xfId="0" applyFont="1" applyFill="1" applyBorder="1" applyAlignment="1" applyProtection="1">
      <alignment horizontal="center" vertical="center" wrapText="1"/>
      <protection hidden="1"/>
    </xf>
    <xf numFmtId="0" fontId="5" fillId="6" borderId="44" xfId="0" applyFont="1" applyFill="1" applyBorder="1" applyAlignment="1" applyProtection="1">
      <alignment vertical="center" wrapText="1"/>
      <protection hidden="1"/>
    </xf>
    <xf numFmtId="0" fontId="5" fillId="6" borderId="30" xfId="0" applyFont="1" applyFill="1" applyBorder="1" applyAlignment="1" applyProtection="1">
      <alignment vertical="center" wrapText="1"/>
      <protection hidden="1"/>
    </xf>
    <xf numFmtId="0" fontId="5" fillId="6" borderId="29" xfId="0" applyFont="1" applyFill="1" applyBorder="1" applyAlignment="1" applyProtection="1">
      <alignment horizontal="center" vertical="center" wrapText="1"/>
      <protection hidden="1"/>
    </xf>
    <xf numFmtId="0" fontId="47" fillId="34" borderId="15" xfId="0" applyFont="1" applyFill="1" applyBorder="1" applyAlignment="1" applyProtection="1">
      <alignment horizontal="left"/>
      <protection hidden="1"/>
    </xf>
    <xf numFmtId="0" fontId="23" fillId="34" borderId="15" xfId="0" applyFont="1" applyFill="1" applyBorder="1" applyAlignment="1" applyProtection="1">
      <alignment horizontal="left" vertical="top" wrapText="1"/>
      <protection hidden="1"/>
    </xf>
    <xf numFmtId="0" fontId="23" fillId="34" borderId="35" xfId="0" applyFont="1" applyFill="1" applyBorder="1" applyAlignment="1" applyProtection="1">
      <alignment horizontal="left" vertical="top" wrapText="1"/>
      <protection hidden="1"/>
    </xf>
    <xf numFmtId="0" fontId="5" fillId="6" borderId="43" xfId="0" applyFont="1" applyFill="1" applyBorder="1" applyAlignment="1" applyProtection="1">
      <alignment vertical="center" wrapText="1"/>
      <protection hidden="1"/>
    </xf>
    <xf numFmtId="0" fontId="5" fillId="6" borderId="26" xfId="0" applyFont="1" applyFill="1" applyBorder="1" applyAlignment="1" applyProtection="1">
      <alignment vertical="center" wrapText="1"/>
      <protection hidden="1"/>
    </xf>
    <xf numFmtId="0" fontId="5" fillId="6" borderId="25" xfId="0" applyFont="1" applyFill="1" applyBorder="1" applyAlignment="1" applyProtection="1">
      <alignment horizontal="center" vertical="center" wrapText="1"/>
      <protection hidden="1"/>
    </xf>
    <xf numFmtId="0" fontId="21" fillId="38" borderId="42" xfId="0" applyFont="1" applyFill="1" applyBorder="1" applyAlignment="1" applyProtection="1">
      <alignment horizontal="center" wrapText="1" shrinkToFit="1"/>
      <protection hidden="1"/>
    </xf>
    <xf numFmtId="0" fontId="21" fillId="38" borderId="15" xfId="0" applyFont="1" applyFill="1" applyBorder="1" applyAlignment="1" applyProtection="1">
      <alignment horizontal="center" wrapText="1" shrinkToFit="1"/>
      <protection hidden="1"/>
    </xf>
    <xf numFmtId="0" fontId="47" fillId="34" borderId="15" xfId="0" applyFont="1" applyFill="1" applyBorder="1" applyAlignment="1" applyProtection="1">
      <alignment horizontal="left" wrapText="1"/>
      <protection hidden="1"/>
    </xf>
    <xf numFmtId="0" fontId="8" fillId="0" borderId="15" xfId="0" applyFont="1" applyBorder="1" applyProtection="1">
      <protection hidden="1"/>
    </xf>
    <xf numFmtId="0" fontId="0" fillId="0" borderId="15" xfId="0" applyBorder="1" applyProtection="1">
      <protection hidden="1"/>
    </xf>
    <xf numFmtId="0" fontId="8" fillId="34" borderId="15" xfId="0" applyFont="1" applyFill="1" applyBorder="1" applyProtection="1">
      <protection hidden="1"/>
    </xf>
    <xf numFmtId="0" fontId="50" fillId="34" borderId="15" xfId="0" applyFont="1" applyFill="1" applyBorder="1" applyAlignment="1" applyProtection="1">
      <alignment vertical="top"/>
      <protection hidden="1"/>
    </xf>
    <xf numFmtId="0" fontId="57" fillId="0" borderId="0" xfId="0" applyFont="1" applyAlignment="1" applyProtection="1">
      <alignment horizontal="center" vertical="center"/>
      <protection hidden="1"/>
    </xf>
    <xf numFmtId="0" fontId="5" fillId="35" borderId="37" xfId="0" applyFont="1" applyFill="1" applyBorder="1" applyAlignment="1" applyProtection="1">
      <alignment horizontal="left" vertical="top" shrinkToFit="1" readingOrder="1"/>
      <protection hidden="1"/>
    </xf>
    <xf numFmtId="0" fontId="5" fillId="36" borderId="37" xfId="0" applyFont="1" applyFill="1" applyBorder="1" applyAlignment="1" applyProtection="1">
      <alignment horizontal="left" vertical="top" shrinkToFit="1" readingOrder="1"/>
      <protection hidden="1"/>
    </xf>
    <xf numFmtId="0" fontId="5" fillId="36" borderId="59" xfId="0" applyFont="1" applyFill="1" applyBorder="1" applyAlignment="1" applyProtection="1">
      <alignment horizontal="left" vertical="top" shrinkToFit="1" readingOrder="1"/>
      <protection hidden="1"/>
    </xf>
  </cellXfs>
  <cellStyles count="3">
    <cellStyle name="Lien hypertexte" xfId="1" builtinId="8"/>
    <cellStyle name="Monétaire" xfId="2" builtinId="4"/>
    <cellStyle name="Normal" xfId="0" builtinId="0"/>
  </cellStyles>
  <dxfs count="28">
    <dxf>
      <font>
        <color rgb="FFFFFF00"/>
      </font>
      <fill>
        <patternFill>
          <bgColor rgb="FFEB4B4B"/>
        </patternFill>
      </fill>
    </dxf>
    <dxf>
      <font>
        <strike val="0"/>
        <color theme="1"/>
      </font>
      <border>
        <bottom style="thin">
          <color auto="1"/>
        </bottom>
        <vertical/>
        <horizontal/>
      </border>
    </dxf>
    <dxf>
      <font>
        <color theme="1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b val="0"/>
        <i val="0"/>
        <color theme="1"/>
      </font>
      <border>
        <bottom style="thin">
          <color auto="1"/>
        </bottom>
      </border>
    </dxf>
    <dxf>
      <fill>
        <patternFill>
          <bgColor rgb="FFFFFF00"/>
        </patternFill>
      </fill>
    </dxf>
    <dxf>
      <font>
        <b/>
        <i val="0"/>
        <color theme="1"/>
      </font>
    </dxf>
    <dxf>
      <font>
        <b/>
        <i val="0"/>
        <color rgb="FFEB4B4B"/>
      </font>
      <fill>
        <patternFill>
          <bgColor theme="6" tint="0.59996337778862885"/>
        </patternFill>
      </fill>
      <border>
        <bottom/>
      </border>
    </dxf>
    <dxf>
      <font>
        <b/>
        <i val="0"/>
        <color rgb="FFEB4B4B"/>
      </font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rgb="FFEB4B4B"/>
        </patternFill>
      </fill>
    </dxf>
    <dxf>
      <font>
        <color theme="0"/>
      </font>
      <fill>
        <patternFill patternType="none"/>
      </fill>
    </dxf>
    <dxf>
      <font>
        <color rgb="FFFFFF00"/>
      </font>
      <fill>
        <patternFill>
          <bgColor rgb="FFEB4B4B"/>
        </patternFill>
      </fill>
    </dxf>
    <dxf>
      <font>
        <strike val="0"/>
        <color theme="1"/>
      </font>
      <border>
        <bottom style="thin">
          <color auto="1"/>
        </bottom>
        <vertical/>
        <horizontal/>
      </border>
    </dxf>
    <dxf>
      <font>
        <color theme="1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b val="0"/>
        <i val="0"/>
        <color theme="1"/>
      </font>
      <border>
        <bottom style="thin">
          <color auto="1"/>
        </bottom>
      </border>
    </dxf>
    <dxf>
      <fill>
        <patternFill>
          <bgColor rgb="FFFFFF00"/>
        </patternFill>
      </fill>
    </dxf>
    <dxf>
      <font>
        <b/>
        <i val="0"/>
        <color theme="1"/>
      </font>
    </dxf>
    <dxf>
      <font>
        <b/>
        <i val="0"/>
        <color rgb="FFEB4B4B"/>
      </font>
      <fill>
        <patternFill>
          <bgColor theme="6" tint="0.59996337778862885"/>
        </patternFill>
      </fill>
      <border>
        <bottom/>
      </border>
    </dxf>
    <dxf>
      <font>
        <b/>
        <i val="0"/>
        <color rgb="FFEB4B4B"/>
      </font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rgb="FFEB4B4B"/>
        </patternFill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colors>
    <mruColors>
      <color rgb="FFD7B964"/>
      <color rgb="FFEB4B4B"/>
      <color rgb="FFFFEFC3"/>
      <color rgb="FFFFFFE7"/>
      <color rgb="FF66FF66"/>
      <color rgb="FFB8CCE4"/>
      <color rgb="FFFF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2066925</xdr:colOff>
      <xdr:row>0</xdr:row>
      <xdr:rowOff>95251</xdr:rowOff>
    </xdr:from>
    <xdr:ext cx="1038225" cy="56386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6925" y="95251"/>
          <a:ext cx="1038225" cy="563864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2066925</xdr:colOff>
      <xdr:row>0</xdr:row>
      <xdr:rowOff>95251</xdr:rowOff>
    </xdr:from>
    <xdr:ext cx="1038225" cy="563864"/>
    <xdr:pic>
      <xdr:nvPicPr>
        <xdr:cNvPr id="2" name="image1.png">
          <a:extLst>
            <a:ext uri="{FF2B5EF4-FFF2-40B4-BE49-F238E27FC236}">
              <a16:creationId xmlns:a16="http://schemas.microsoft.com/office/drawing/2014/main" id="{C06B65E5-D911-4FF0-900B-41EA8C2315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6925" y="95251"/>
          <a:ext cx="1038225" cy="563864"/>
        </a:xfrm>
        <a:prstGeom prst="rect">
          <a:avLst/>
        </a:prstGeom>
        <a:noFill/>
      </xdr:spPr>
    </xdr:pic>
    <xdr:clientData fLocksWithSheet="0"/>
  </xdr:oneCellAnchor>
  <xdr:twoCellAnchor>
    <xdr:from>
      <xdr:col>14</xdr:col>
      <xdr:colOff>333375</xdr:colOff>
      <xdr:row>2</xdr:row>
      <xdr:rowOff>152400</xdr:rowOff>
    </xdr:from>
    <xdr:to>
      <xdr:col>14</xdr:col>
      <xdr:colOff>647700</xdr:colOff>
      <xdr:row>4</xdr:row>
      <xdr:rowOff>21648</xdr:rowOff>
    </xdr:to>
    <xdr:sp macro="" textlink="">
      <xdr:nvSpPr>
        <xdr:cNvPr id="3" name="Larme 2">
          <a:extLst>
            <a:ext uri="{FF2B5EF4-FFF2-40B4-BE49-F238E27FC236}">
              <a16:creationId xmlns:a16="http://schemas.microsoft.com/office/drawing/2014/main" id="{ABF8D3B2-F02A-442C-9B78-D88C854AE750}"/>
            </a:ext>
          </a:extLst>
        </xdr:cNvPr>
        <xdr:cNvSpPr/>
      </xdr:nvSpPr>
      <xdr:spPr>
        <a:xfrm>
          <a:off x="11782425" y="447675"/>
          <a:ext cx="314325" cy="316923"/>
        </a:xfrm>
        <a:prstGeom prst="teardrop">
          <a:avLst/>
        </a:prstGeom>
        <a:solidFill>
          <a:srgbClr val="66FF66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CA" sz="1400" b="1">
              <a:solidFill>
                <a:srgbClr val="FF0000"/>
              </a:solidFill>
            </a:rPr>
            <a:t>1</a:t>
          </a:r>
        </a:p>
      </xdr:txBody>
    </xdr:sp>
    <xdr:clientData/>
  </xdr:twoCellAnchor>
  <xdr:twoCellAnchor>
    <xdr:from>
      <xdr:col>14</xdr:col>
      <xdr:colOff>1800225</xdr:colOff>
      <xdr:row>6</xdr:row>
      <xdr:rowOff>9525</xdr:rowOff>
    </xdr:from>
    <xdr:to>
      <xdr:col>15</xdr:col>
      <xdr:colOff>251114</xdr:colOff>
      <xdr:row>7</xdr:row>
      <xdr:rowOff>61480</xdr:rowOff>
    </xdr:to>
    <xdr:sp macro="" textlink="">
      <xdr:nvSpPr>
        <xdr:cNvPr id="4" name="Larme 3">
          <a:extLst>
            <a:ext uri="{FF2B5EF4-FFF2-40B4-BE49-F238E27FC236}">
              <a16:creationId xmlns:a16="http://schemas.microsoft.com/office/drawing/2014/main" id="{D6456323-DE48-4EAA-B96B-8000A5AE73F2}"/>
            </a:ext>
          </a:extLst>
        </xdr:cNvPr>
        <xdr:cNvSpPr/>
      </xdr:nvSpPr>
      <xdr:spPr>
        <a:xfrm>
          <a:off x="13249275" y="1247775"/>
          <a:ext cx="317789" cy="318655"/>
        </a:xfrm>
        <a:prstGeom prst="teardrop">
          <a:avLst/>
        </a:prstGeom>
        <a:solidFill>
          <a:srgbClr val="66FF66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CA" sz="14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0</xdr:col>
      <xdr:colOff>0</xdr:colOff>
      <xdr:row>25</xdr:row>
      <xdr:rowOff>19916</xdr:rowOff>
    </xdr:from>
    <xdr:to>
      <xdr:col>0</xdr:col>
      <xdr:colOff>314325</xdr:colOff>
      <xdr:row>26</xdr:row>
      <xdr:rowOff>154132</xdr:rowOff>
    </xdr:to>
    <xdr:sp macro="" textlink="">
      <xdr:nvSpPr>
        <xdr:cNvPr id="5" name="Larme 4">
          <a:extLst>
            <a:ext uri="{FF2B5EF4-FFF2-40B4-BE49-F238E27FC236}">
              <a16:creationId xmlns:a16="http://schemas.microsoft.com/office/drawing/2014/main" id="{6D02DF6E-863B-4CBE-80A2-FF43DE3B6436}"/>
            </a:ext>
          </a:extLst>
        </xdr:cNvPr>
        <xdr:cNvSpPr/>
      </xdr:nvSpPr>
      <xdr:spPr>
        <a:xfrm>
          <a:off x="0" y="5287241"/>
          <a:ext cx="314325" cy="315191"/>
        </a:xfrm>
        <a:prstGeom prst="teardrop">
          <a:avLst/>
        </a:prstGeom>
        <a:solidFill>
          <a:srgbClr val="66FF66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CA" sz="1400" b="1">
              <a:solidFill>
                <a:srgbClr val="FF0000"/>
              </a:solidFill>
            </a:rPr>
            <a:t>3</a:t>
          </a:r>
        </a:p>
      </xdr:txBody>
    </xdr:sp>
    <xdr:clientData/>
  </xdr:twoCellAnchor>
  <xdr:twoCellAnchor>
    <xdr:from>
      <xdr:col>0</xdr:col>
      <xdr:colOff>3239366</xdr:colOff>
      <xdr:row>25</xdr:row>
      <xdr:rowOff>10391</xdr:rowOff>
    </xdr:from>
    <xdr:to>
      <xdr:col>1</xdr:col>
      <xdr:colOff>229466</xdr:colOff>
      <xdr:row>26</xdr:row>
      <xdr:rowOff>144607</xdr:rowOff>
    </xdr:to>
    <xdr:sp macro="" textlink="">
      <xdr:nvSpPr>
        <xdr:cNvPr id="6" name="Larme 5">
          <a:extLst>
            <a:ext uri="{FF2B5EF4-FFF2-40B4-BE49-F238E27FC236}">
              <a16:creationId xmlns:a16="http://schemas.microsoft.com/office/drawing/2014/main" id="{B1ACAD41-6481-433B-91A8-F62D869624E5}"/>
            </a:ext>
          </a:extLst>
        </xdr:cNvPr>
        <xdr:cNvSpPr/>
      </xdr:nvSpPr>
      <xdr:spPr>
        <a:xfrm>
          <a:off x="3239366" y="5277716"/>
          <a:ext cx="314325" cy="315191"/>
        </a:xfrm>
        <a:prstGeom prst="teardrop">
          <a:avLst/>
        </a:prstGeom>
        <a:solidFill>
          <a:srgbClr val="66FF66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CA" sz="1400" b="1">
              <a:solidFill>
                <a:srgbClr val="FF0000"/>
              </a:solidFill>
            </a:rPr>
            <a:t>4</a:t>
          </a:r>
        </a:p>
      </xdr:txBody>
    </xdr:sp>
    <xdr:clientData/>
  </xdr:twoCellAnchor>
  <xdr:twoCellAnchor>
    <xdr:from>
      <xdr:col>2</xdr:col>
      <xdr:colOff>181841</xdr:colOff>
      <xdr:row>25</xdr:row>
      <xdr:rowOff>0</xdr:rowOff>
    </xdr:from>
    <xdr:to>
      <xdr:col>4</xdr:col>
      <xdr:colOff>40698</xdr:colOff>
      <xdr:row>26</xdr:row>
      <xdr:rowOff>135082</xdr:rowOff>
    </xdr:to>
    <xdr:sp macro="" textlink="">
      <xdr:nvSpPr>
        <xdr:cNvPr id="7" name="Larme 6">
          <a:extLst>
            <a:ext uri="{FF2B5EF4-FFF2-40B4-BE49-F238E27FC236}">
              <a16:creationId xmlns:a16="http://schemas.microsoft.com/office/drawing/2014/main" id="{AE2FBE7A-E02F-4FC1-9FCD-DC988391A4BD}"/>
            </a:ext>
          </a:extLst>
        </xdr:cNvPr>
        <xdr:cNvSpPr/>
      </xdr:nvSpPr>
      <xdr:spPr>
        <a:xfrm>
          <a:off x="5792066" y="5267325"/>
          <a:ext cx="316057" cy="316057"/>
        </a:xfrm>
        <a:prstGeom prst="teardrop">
          <a:avLst/>
        </a:prstGeom>
        <a:solidFill>
          <a:srgbClr val="66FF66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CA" sz="1400" b="1">
              <a:solidFill>
                <a:srgbClr val="FF0000"/>
              </a:solidFill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75AA0C5-1739-4C0F-A2AE-185D8C558C09}">
  <we:reference id="wa200002617" version="1.0.0.2" store="fr-FR" storeType="OMEX"/>
  <we:alternateReferences>
    <we:reference id="WA200002617" version="1.0.0.2" store="WA2000026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7984BCBC-AABD-42F5-AA3C-313F043DC588}">
  <we:reference id="wa104363616" version="1.0.0.0" store="fr-FR" storeType="OMEX"/>
  <we:alternateReferences>
    <we:reference id="WA104363616" version="1.0.0.0" store="WA10436361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86"/>
  <sheetViews>
    <sheetView showGridLines="0" tabSelected="1" zoomScaleNormal="100" workbookViewId="0">
      <pane ySplit="10" topLeftCell="A11" activePane="bottomLeft" state="frozen"/>
      <selection pane="bottomLeft" activeCell="P4" sqref="P4:T4"/>
    </sheetView>
  </sheetViews>
  <sheetFormatPr baseColWidth="10" defaultColWidth="14.42578125" defaultRowHeight="15" customHeight="1" outlineLevelCol="1" x14ac:dyDescent="0.25"/>
  <cols>
    <col min="1" max="1" width="49.85546875" style="15" customWidth="1"/>
    <col min="2" max="2" width="34.28515625" style="15" customWidth="1"/>
    <col min="3" max="3" width="5" style="15" customWidth="1"/>
    <col min="4" max="4" width="1.85546875" style="15" customWidth="1"/>
    <col min="5" max="5" width="13" style="15" customWidth="1"/>
    <col min="6" max="6" width="3.140625" style="15" customWidth="1"/>
    <col min="7" max="7" width="13.140625" style="15" customWidth="1"/>
    <col min="8" max="8" width="2.42578125" style="15" customWidth="1"/>
    <col min="9" max="9" width="14.28515625" style="15" customWidth="1"/>
    <col min="10" max="10" width="2.5703125" style="15" customWidth="1"/>
    <col min="11" max="11" width="14.28515625" style="15" customWidth="1"/>
    <col min="12" max="12" width="2.5703125" style="15" customWidth="1"/>
    <col min="13" max="13" width="14.28515625" style="15" customWidth="1"/>
    <col min="14" max="14" width="1" style="15" customWidth="1"/>
    <col min="15" max="15" width="28" style="15" customWidth="1"/>
    <col min="16" max="16" width="13.85546875" style="15" customWidth="1"/>
    <col min="17" max="17" width="2.7109375" style="15" customWidth="1"/>
    <col min="18" max="18" width="8.7109375" style="15" customWidth="1"/>
    <col min="19" max="19" width="3" style="15" customWidth="1"/>
    <col min="20" max="20" width="14.28515625" style="15" customWidth="1"/>
    <col min="21" max="21" width="2.140625" style="15" customWidth="1"/>
    <col min="22" max="22" width="14.28515625" style="15" customWidth="1"/>
    <col min="23" max="23" width="2.85546875" style="15" customWidth="1"/>
    <col min="24" max="24" width="14.28515625" style="15" customWidth="1"/>
    <col min="25" max="25" width="1" style="15" customWidth="1"/>
    <col min="26" max="26" width="18.28515625" style="15" customWidth="1"/>
    <col min="27" max="27" width="18.28515625" style="304" hidden="1" customWidth="1" outlineLevel="1"/>
    <col min="28" max="28" width="15.7109375" style="304" hidden="1" customWidth="1" outlineLevel="1"/>
    <col min="29" max="29" width="14.28515625" style="304" hidden="1" customWidth="1" outlineLevel="1"/>
    <col min="30" max="30" width="12.7109375" style="304" hidden="1" customWidth="1" outlineLevel="1"/>
    <col min="31" max="33" width="10.85546875" style="304" hidden="1" customWidth="1" outlineLevel="1"/>
    <col min="34" max="34" width="13.85546875" style="304" hidden="1" customWidth="1" outlineLevel="1"/>
    <col min="35" max="36" width="10.85546875" style="304" hidden="1" customWidth="1" outlineLevel="1"/>
    <col min="37" max="39" width="10.85546875" style="15" hidden="1" customWidth="1" outlineLevel="1"/>
    <col min="40" max="40" width="14.42578125" style="15" hidden="1" customWidth="1" outlineLevel="1"/>
    <col min="41" max="41" width="14.42578125" style="15" collapsed="1"/>
    <col min="42" max="16384" width="14.42578125" style="15"/>
  </cols>
  <sheetData>
    <row r="1" spans="1:39" ht="14.25" customHeight="1" thickBo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U1" s="14"/>
      <c r="V1" s="14"/>
      <c r="W1" s="14"/>
      <c r="X1" s="14"/>
      <c r="Y1" s="14"/>
      <c r="Z1" s="14"/>
      <c r="AA1" s="287"/>
      <c r="AB1" s="290"/>
      <c r="AC1" s="355"/>
      <c r="AE1" s="355"/>
      <c r="AF1" s="14"/>
      <c r="AG1" s="14"/>
      <c r="AH1" s="14"/>
      <c r="AI1" s="14"/>
      <c r="AJ1" s="14"/>
      <c r="AK1" s="14"/>
      <c r="AL1" s="14"/>
      <c r="AM1" s="14"/>
    </row>
    <row r="2" spans="1:39" ht="9" customHeight="1" x14ac:dyDescent="0.25">
      <c r="A2" s="14"/>
      <c r="B2" s="14"/>
      <c r="C2" s="438" t="s">
        <v>48</v>
      </c>
      <c r="D2" s="439"/>
      <c r="E2" s="439"/>
      <c r="F2" s="439"/>
      <c r="G2" s="439"/>
      <c r="H2" s="439"/>
      <c r="I2" s="439"/>
      <c r="J2" s="439"/>
      <c r="K2" s="439"/>
      <c r="L2" s="439"/>
      <c r="M2" s="440"/>
      <c r="N2" s="14"/>
      <c r="O2" s="16"/>
      <c r="P2" s="17"/>
      <c r="Q2" s="17"/>
      <c r="R2" s="17"/>
      <c r="S2" s="17"/>
      <c r="T2" s="17"/>
      <c r="U2" s="18"/>
      <c r="V2" s="14"/>
      <c r="W2" s="14"/>
      <c r="X2" s="14"/>
      <c r="Y2" s="14"/>
      <c r="Z2" s="14"/>
      <c r="AA2" s="287"/>
      <c r="AB2" s="290"/>
      <c r="AC2" s="299"/>
      <c r="AE2" s="299"/>
      <c r="AF2" s="14"/>
      <c r="AG2" s="14"/>
      <c r="AH2" s="14"/>
      <c r="AI2" s="14"/>
      <c r="AJ2" s="14"/>
      <c r="AK2" s="14"/>
      <c r="AL2" s="14"/>
      <c r="AM2" s="14"/>
    </row>
    <row r="3" spans="1:39" ht="15.75" customHeight="1" x14ac:dyDescent="0.25">
      <c r="C3" s="441"/>
      <c r="D3" s="442"/>
      <c r="E3" s="442"/>
      <c r="F3" s="442"/>
      <c r="G3" s="442"/>
      <c r="H3" s="442"/>
      <c r="I3" s="442"/>
      <c r="J3" s="442"/>
      <c r="K3" s="442"/>
      <c r="L3" s="442"/>
      <c r="M3" s="443"/>
      <c r="N3" s="19"/>
      <c r="O3" s="20" t="s">
        <v>50</v>
      </c>
      <c r="P3" s="430" t="s">
        <v>54</v>
      </c>
      <c r="Q3" s="431"/>
      <c r="R3" s="431"/>
      <c r="S3" s="431"/>
      <c r="T3" s="431"/>
      <c r="U3" s="21"/>
      <c r="Z3" s="22"/>
      <c r="AA3" s="291"/>
      <c r="AB3" s="355"/>
      <c r="AC3" s="358"/>
      <c r="AE3" s="358"/>
      <c r="AF3" s="22"/>
      <c r="AG3" s="22"/>
      <c r="AH3" s="22"/>
      <c r="AI3" s="22"/>
      <c r="AJ3" s="22"/>
    </row>
    <row r="4" spans="1:39" ht="19.5" customHeight="1" x14ac:dyDescent="0.25">
      <c r="C4" s="441"/>
      <c r="D4" s="442"/>
      <c r="E4" s="442"/>
      <c r="F4" s="442"/>
      <c r="G4" s="442"/>
      <c r="H4" s="442"/>
      <c r="I4" s="442"/>
      <c r="J4" s="442"/>
      <c r="K4" s="442"/>
      <c r="L4" s="442"/>
      <c r="M4" s="443"/>
      <c r="O4" s="20" t="s">
        <v>51</v>
      </c>
      <c r="P4" s="432"/>
      <c r="Q4" s="431"/>
      <c r="R4" s="431"/>
      <c r="S4" s="431"/>
      <c r="T4" s="431"/>
      <c r="U4" s="23"/>
      <c r="X4" s="24"/>
      <c r="Z4" s="22"/>
      <c r="AA4" s="291"/>
      <c r="AB4" s="356"/>
      <c r="AC4" s="358"/>
      <c r="AE4" s="358"/>
      <c r="AF4" s="22"/>
      <c r="AG4" s="22"/>
      <c r="AH4" s="22"/>
      <c r="AI4" s="22"/>
      <c r="AJ4" s="22"/>
    </row>
    <row r="5" spans="1:39" ht="18.75" customHeight="1" x14ac:dyDescent="0.25">
      <c r="A5" s="383" t="s">
        <v>147</v>
      </c>
      <c r="B5" s="384"/>
      <c r="C5" s="441"/>
      <c r="D5" s="442"/>
      <c r="E5" s="442"/>
      <c r="F5" s="442"/>
      <c r="G5" s="442"/>
      <c r="H5" s="442"/>
      <c r="I5" s="442"/>
      <c r="J5" s="442"/>
      <c r="K5" s="442"/>
      <c r="L5" s="442"/>
      <c r="M5" s="443"/>
      <c r="N5" s="14"/>
      <c r="O5" s="330" t="s">
        <v>52</v>
      </c>
      <c r="P5" s="433"/>
      <c r="Q5" s="434"/>
      <c r="R5" s="434"/>
      <c r="S5" s="434"/>
      <c r="T5" s="434"/>
      <c r="U5" s="25"/>
      <c r="Z5" s="22"/>
      <c r="AA5" s="291"/>
      <c r="AB5" s="356"/>
      <c r="AC5" s="358"/>
      <c r="AE5" s="358"/>
      <c r="AF5" s="22"/>
      <c r="AG5" s="22"/>
      <c r="AH5" s="22"/>
      <c r="AI5" s="22"/>
      <c r="AJ5" s="22"/>
    </row>
    <row r="6" spans="1:39" ht="20.25" customHeight="1" thickBot="1" x14ac:dyDescent="0.3">
      <c r="A6" s="383"/>
      <c r="B6" s="384"/>
      <c r="C6" s="444"/>
      <c r="D6" s="445"/>
      <c r="E6" s="445"/>
      <c r="F6" s="445"/>
      <c r="G6" s="445"/>
      <c r="H6" s="445"/>
      <c r="I6" s="445"/>
      <c r="J6" s="445"/>
      <c r="K6" s="445"/>
      <c r="L6" s="445"/>
      <c r="M6" s="446"/>
      <c r="N6" s="14"/>
      <c r="O6" s="20" t="s">
        <v>53</v>
      </c>
      <c r="P6" s="13"/>
      <c r="Q6" s="352" t="s">
        <v>36</v>
      </c>
      <c r="R6" s="353"/>
      <c r="S6" s="354" t="s">
        <v>38</v>
      </c>
      <c r="T6" s="364"/>
      <c r="U6" s="23"/>
      <c r="Z6" s="22"/>
      <c r="AA6" s="291"/>
      <c r="AB6" s="357"/>
      <c r="AC6" s="358"/>
      <c r="AE6" s="358"/>
      <c r="AF6" s="22"/>
      <c r="AG6" s="22"/>
      <c r="AH6" s="22"/>
      <c r="AI6" s="22"/>
      <c r="AJ6" s="22"/>
    </row>
    <row r="7" spans="1:39" ht="21" customHeight="1" x14ac:dyDescent="0.25">
      <c r="A7" s="383"/>
      <c r="B7" s="384"/>
      <c r="C7" s="447" t="s">
        <v>49</v>
      </c>
      <c r="D7" s="448"/>
      <c r="E7" s="448"/>
      <c r="F7" s="448"/>
      <c r="G7" s="448"/>
      <c r="H7" s="448"/>
      <c r="I7" s="448"/>
      <c r="J7" s="448"/>
      <c r="K7" s="448"/>
      <c r="L7" s="448"/>
      <c r="M7" s="449"/>
      <c r="N7" s="14"/>
      <c r="O7" s="366" t="s">
        <v>11</v>
      </c>
      <c r="P7" s="435"/>
      <c r="Q7" s="436"/>
      <c r="R7" s="437"/>
      <c r="S7" s="22"/>
      <c r="T7" s="359" t="str">
        <f>IFERROR(VLOOKUP($T$6,Tarifs!$A$110:$E$114,IF(DUREE&lt;60,3,5),FALSE),"")</f>
        <v/>
      </c>
      <c r="U7" s="26"/>
      <c r="Z7" s="22"/>
      <c r="AA7" s="291"/>
      <c r="AB7" s="22"/>
      <c r="AC7" s="292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39" ht="15" customHeight="1" x14ac:dyDescent="0.6">
      <c r="A8" s="506"/>
      <c r="B8" s="27"/>
      <c r="C8" s="447"/>
      <c r="D8" s="448"/>
      <c r="E8" s="448"/>
      <c r="F8" s="448"/>
      <c r="G8" s="448"/>
      <c r="H8" s="448"/>
      <c r="I8" s="448"/>
      <c r="J8" s="448"/>
      <c r="K8" s="448"/>
      <c r="L8" s="448"/>
      <c r="M8" s="449"/>
      <c r="N8" s="14"/>
      <c r="O8" s="365" t="s">
        <v>12</v>
      </c>
      <c r="P8" s="453"/>
      <c r="Q8" s="454"/>
      <c r="R8" s="455"/>
      <c r="S8" s="28"/>
      <c r="T8" s="28"/>
      <c r="U8" s="29"/>
      <c r="Z8" s="22"/>
      <c r="AA8" s="291"/>
      <c r="AB8" s="35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</row>
    <row r="9" spans="1:39" ht="7.5" customHeight="1" thickBot="1" x14ac:dyDescent="0.65">
      <c r="A9" s="506"/>
      <c r="B9" s="27"/>
      <c r="C9" s="450"/>
      <c r="D9" s="451"/>
      <c r="E9" s="451"/>
      <c r="F9" s="451"/>
      <c r="G9" s="451"/>
      <c r="H9" s="451"/>
      <c r="I9" s="451"/>
      <c r="J9" s="451"/>
      <c r="K9" s="451"/>
      <c r="L9" s="451"/>
      <c r="M9" s="452"/>
      <c r="N9" s="14"/>
      <c r="O9" s="30"/>
      <c r="P9" s="31"/>
      <c r="Q9" s="31"/>
      <c r="R9" s="31"/>
      <c r="S9" s="31"/>
      <c r="T9" s="31"/>
      <c r="U9" s="32"/>
      <c r="V9" s="33"/>
      <c r="W9" s="33"/>
      <c r="X9" s="33"/>
      <c r="Y9" s="33"/>
      <c r="Z9" s="22"/>
      <c r="AA9" s="291"/>
      <c r="AB9" s="35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1:39" ht="17.25" customHeight="1" thickBot="1" x14ac:dyDescent="0.3">
      <c r="C10" s="14"/>
      <c r="D10" s="14"/>
      <c r="E10" s="14"/>
      <c r="F10" s="14"/>
      <c r="G10" s="14"/>
      <c r="N10" s="14"/>
      <c r="V10" s="34"/>
      <c r="W10" s="34"/>
      <c r="X10" s="35"/>
      <c r="Y10" s="35"/>
      <c r="Z10" s="35"/>
      <c r="AA10" s="293" t="s">
        <v>13</v>
      </c>
      <c r="AB10" s="293" t="s">
        <v>14</v>
      </c>
      <c r="AC10" s="14" t="s">
        <v>15</v>
      </c>
      <c r="AD10" s="14" t="s">
        <v>16</v>
      </c>
      <c r="AE10" s="14" t="s">
        <v>17</v>
      </c>
      <c r="AF10" s="294" t="s">
        <v>18</v>
      </c>
      <c r="AG10" s="14" t="s">
        <v>19</v>
      </c>
      <c r="AH10" s="14" t="s">
        <v>20</v>
      </c>
      <c r="AI10" s="294" t="s">
        <v>21</v>
      </c>
      <c r="AJ10" s="14"/>
      <c r="AK10" s="14"/>
      <c r="AL10" s="14"/>
      <c r="AM10" s="14"/>
    </row>
    <row r="11" spans="1:39" ht="27.75" customHeight="1" x14ac:dyDescent="0.25">
      <c r="A11" s="36" t="s">
        <v>148</v>
      </c>
      <c r="B11" s="305"/>
      <c r="C11" s="37"/>
      <c r="D11" s="37"/>
      <c r="E11" s="37"/>
      <c r="F11" s="37"/>
      <c r="G11" s="456" t="s">
        <v>22</v>
      </c>
      <c r="H11" s="404"/>
      <c r="I11" s="404"/>
      <c r="J11" s="404"/>
      <c r="K11" s="404"/>
      <c r="L11" s="404"/>
      <c r="M11" s="405"/>
      <c r="N11" s="14"/>
      <c r="O11" s="457"/>
      <c r="P11" s="404"/>
      <c r="Q11" s="404"/>
      <c r="R11" s="404"/>
      <c r="S11" s="404"/>
      <c r="T11" s="404"/>
      <c r="U11" s="404"/>
      <c r="V11" s="404"/>
      <c r="W11" s="404"/>
      <c r="X11" s="405"/>
      <c r="Y11" s="38"/>
      <c r="Z11" s="458" t="str">
        <f>IF(Tarifs!$D$96=Tarifs!$B$102,"TOTAL Payable by the organization", "TOTAL Payable by the artist")</f>
        <v>TOTAL Payable by the artist</v>
      </c>
      <c r="AA11" s="295"/>
      <c r="AB11" s="296">
        <v>0.5</v>
      </c>
      <c r="AC11" s="14"/>
      <c r="AD11" s="14"/>
      <c r="AE11" s="296">
        <v>0.5</v>
      </c>
      <c r="AF11" s="296"/>
      <c r="AG11" s="296"/>
      <c r="AH11" s="296"/>
      <c r="AI11" s="14"/>
      <c r="AJ11" s="14"/>
      <c r="AK11" s="14"/>
      <c r="AL11" s="14"/>
      <c r="AM11" s="14"/>
    </row>
    <row r="12" spans="1:39" ht="17.25" customHeight="1" x14ac:dyDescent="0.25">
      <c r="A12" s="39" t="s">
        <v>149</v>
      </c>
      <c r="B12" s="306"/>
      <c r="C12" s="460" t="s">
        <v>23</v>
      </c>
      <c r="D12" s="408"/>
      <c r="E12" s="40" t="s">
        <v>192</v>
      </c>
      <c r="F12" s="40"/>
      <c r="G12" s="40" t="s">
        <v>144</v>
      </c>
      <c r="H12" s="40"/>
      <c r="I12" s="40" t="s">
        <v>152</v>
      </c>
      <c r="J12" s="40"/>
      <c r="K12" s="40" t="str">
        <f>IFERROR(IF(OR($P$3=Tarifs!$A$94,$P$3=Tarifs!$A$95),"PRIM Support","PRIM Support "&amp;VLOOKUP($P$3,Tarifs!$A$94:$C$104,3,FALSE)*100&amp;"%"),"PRIM Support")</f>
        <v>PRIM Support</v>
      </c>
      <c r="L12" s="40"/>
      <c r="M12" s="41" t="s">
        <v>25</v>
      </c>
      <c r="N12" s="14"/>
      <c r="O12" s="42"/>
      <c r="P12" s="43"/>
      <c r="Q12" s="40"/>
      <c r="R12" s="40"/>
      <c r="S12" s="43"/>
      <c r="T12" s="40"/>
      <c r="U12" s="40"/>
      <c r="V12" s="40"/>
      <c r="W12" s="40"/>
      <c r="X12" s="41"/>
      <c r="Y12" s="38"/>
      <c r="Z12" s="459"/>
      <c r="AA12" s="295"/>
      <c r="AB12" s="297"/>
      <c r="AC12" s="297">
        <v>0</v>
      </c>
      <c r="AD12" s="298">
        <f>P7</f>
        <v>0</v>
      </c>
      <c r="AE12" s="299"/>
      <c r="AF12" s="298"/>
      <c r="AG12" s="297"/>
      <c r="AH12" s="298">
        <f>P8</f>
        <v>0</v>
      </c>
      <c r="AI12" s="299"/>
      <c r="AJ12" s="14"/>
      <c r="AK12" s="14"/>
      <c r="AL12" s="14"/>
      <c r="AM12" s="14"/>
    </row>
    <row r="13" spans="1:39" ht="14.25" customHeight="1" x14ac:dyDescent="0.25">
      <c r="A13" s="389"/>
      <c r="B13" s="390"/>
      <c r="C13" s="461"/>
      <c r="D13" s="413"/>
      <c r="E13" s="1"/>
      <c r="F13" s="44" t="s">
        <v>1</v>
      </c>
      <c r="G13" s="45">
        <f>IF(OR(A13="",E13=""),0,(VLOOKUP(A13,Tarifs!A$48:E$83,IF(E13="Day",2,IF(E13="Weekend",3,IF(E13="Week",4,IF(E13="Month",5,"")))),FALSE)))</f>
        <v>0</v>
      </c>
      <c r="H13" s="46" t="s">
        <v>26</v>
      </c>
      <c r="I13" s="47">
        <f t="shared" ref="I13:I19" si="0">C13*G13</f>
        <v>0</v>
      </c>
      <c r="J13" s="48" t="s">
        <v>27</v>
      </c>
      <c r="K13" s="47">
        <f t="shared" ref="K13:K19" si="1">AI13</f>
        <v>0</v>
      </c>
      <c r="L13" s="48" t="s">
        <v>26</v>
      </c>
      <c r="M13" s="49">
        <f t="shared" ref="M13:M19" si="2">I13-K13</f>
        <v>0</v>
      </c>
      <c r="N13" s="14"/>
      <c r="O13" s="50"/>
      <c r="P13" s="51"/>
      <c r="Q13" s="52"/>
      <c r="R13" s="53"/>
      <c r="S13" s="53"/>
      <c r="T13" s="52"/>
      <c r="U13" s="52"/>
      <c r="V13" s="52"/>
      <c r="W13" s="52"/>
      <c r="X13" s="54"/>
      <c r="Y13" s="52"/>
      <c r="Z13" s="55">
        <f t="shared" ref="Z13:Z19" si="3">M13</f>
        <v>0</v>
      </c>
      <c r="AA13" s="288"/>
      <c r="AB13" s="297">
        <f>IF(OR($P$3=Tarifs!$A$94,$P$3=Tarifs!$A$95,$P$3=Tarifs!$A$95,$P$3=Tarifs!$A$104),0,I13*IFERROR(VLOOKUP(Tarifs!D$96,RABAIS,2,FALSE),0))</f>
        <v>0</v>
      </c>
      <c r="AC13" s="297">
        <f>IF($P$3=Tarifs!$A$104,IF(OR($P$7=0,I13&lt;=AD12),I13,AD12),0)</f>
        <v>0</v>
      </c>
      <c r="AD13" s="298">
        <f t="shared" ref="AD13:AD19" si="4">AD12-AC13</f>
        <v>0</v>
      </c>
      <c r="AE13" s="298">
        <f t="shared" ref="AE13:AE19" si="5">(I13-AC13)*$AE$11</f>
        <v>0</v>
      </c>
      <c r="AF13" s="298">
        <f>IF(Tarifs!D$96=8,AC13+AE13,AB13)</f>
        <v>0</v>
      </c>
      <c r="AG13" s="297">
        <v>0</v>
      </c>
      <c r="AH13" s="298">
        <f t="shared" ref="AH13:AH19" si="6">AH12-AG13</f>
        <v>0</v>
      </c>
      <c r="AI13" s="298">
        <f>IF($P$3=Tarifs!$A$104,AC13+AE13,AB13)</f>
        <v>0</v>
      </c>
      <c r="AJ13" s="56"/>
      <c r="AK13" s="56"/>
      <c r="AL13" s="56"/>
      <c r="AM13" s="56"/>
    </row>
    <row r="14" spans="1:39" ht="14.25" customHeight="1" x14ac:dyDescent="0.25">
      <c r="A14" s="385"/>
      <c r="B14" s="386"/>
      <c r="C14" s="462"/>
      <c r="D14" s="413"/>
      <c r="E14" s="2"/>
      <c r="F14" s="57" t="s">
        <v>1</v>
      </c>
      <c r="G14" s="58">
        <f>IF(OR(A14="",E14=""),0,(VLOOKUP(A14,Tarifs!A$48:E$83,IF(E14="Day",2,IF(E14="Weekend",3,IF(E14="Week",4,IF(E14="Month",5,"")))),FALSE)))</f>
        <v>0</v>
      </c>
      <c r="H14" s="58" t="s">
        <v>26</v>
      </c>
      <c r="I14" s="59">
        <f t="shared" si="0"/>
        <v>0</v>
      </c>
      <c r="J14" s="60" t="s">
        <v>27</v>
      </c>
      <c r="K14" s="59">
        <f t="shared" si="1"/>
        <v>0</v>
      </c>
      <c r="L14" s="60" t="s">
        <v>26</v>
      </c>
      <c r="M14" s="61">
        <f t="shared" si="2"/>
        <v>0</v>
      </c>
      <c r="N14" s="14"/>
      <c r="O14" s="50"/>
      <c r="P14" s="52"/>
      <c r="Q14" s="52"/>
      <c r="R14" s="53"/>
      <c r="S14" s="52"/>
      <c r="T14" s="52"/>
      <c r="U14" s="52"/>
      <c r="V14" s="52"/>
      <c r="W14" s="52"/>
      <c r="X14" s="54"/>
      <c r="Y14" s="52"/>
      <c r="Z14" s="62">
        <f t="shared" si="3"/>
        <v>0</v>
      </c>
      <c r="AA14" s="288"/>
      <c r="AB14" s="297">
        <f>IF(OR($P$3=Tarifs!$A$94,$P$3=Tarifs!$A$95,$P$3=Tarifs!$A$95,$P$3=Tarifs!$A$104),0,I14*IFERROR(VLOOKUP(Tarifs!D$96,RABAIS,2,FALSE),0))</f>
        <v>0</v>
      </c>
      <c r="AC14" s="297">
        <f>IF($P$3=Tarifs!$A$104,IF(OR($P$7=0,I14&lt;=AD13),I14,AD13),0)</f>
        <v>0</v>
      </c>
      <c r="AD14" s="298">
        <f t="shared" si="4"/>
        <v>0</v>
      </c>
      <c r="AE14" s="298">
        <f t="shared" si="5"/>
        <v>0</v>
      </c>
      <c r="AF14" s="298">
        <f>IF(Tarifs!D$96=8,AC14+AE14,AB14)</f>
        <v>0</v>
      </c>
      <c r="AG14" s="297">
        <v>0</v>
      </c>
      <c r="AH14" s="298">
        <f t="shared" si="6"/>
        <v>0</v>
      </c>
      <c r="AI14" s="298">
        <f>IF($P$3=Tarifs!$A$104,AC14+AE14,AB14)</f>
        <v>0</v>
      </c>
      <c r="AJ14" s="14"/>
      <c r="AK14" s="14"/>
      <c r="AL14" s="14"/>
      <c r="AM14" s="14"/>
    </row>
    <row r="15" spans="1:39" ht="14.25" customHeight="1" x14ac:dyDescent="0.25">
      <c r="A15" s="389"/>
      <c r="B15" s="390"/>
      <c r="C15" s="461"/>
      <c r="D15" s="413"/>
      <c r="E15" s="1"/>
      <c r="F15" s="44" t="s">
        <v>1</v>
      </c>
      <c r="G15" s="45">
        <f>IF(OR(A15="",E15=""),0,(VLOOKUP(A15,Tarifs!A$48:E$83,IF(E15="Day",2,IF(E15="Weekend",3,IF(E15="Week",4,IF(E15="Month",5,"")))),FALSE)))</f>
        <v>0</v>
      </c>
      <c r="H15" s="46" t="s">
        <v>26</v>
      </c>
      <c r="I15" s="47">
        <f t="shared" si="0"/>
        <v>0</v>
      </c>
      <c r="J15" s="48" t="s">
        <v>27</v>
      </c>
      <c r="K15" s="47">
        <f t="shared" si="1"/>
        <v>0</v>
      </c>
      <c r="L15" s="48" t="s">
        <v>26</v>
      </c>
      <c r="M15" s="49">
        <f t="shared" si="2"/>
        <v>0</v>
      </c>
      <c r="N15" s="14"/>
      <c r="O15" s="50"/>
      <c r="P15" s="52"/>
      <c r="Q15" s="52"/>
      <c r="R15" s="53"/>
      <c r="S15" s="52"/>
      <c r="T15" s="52"/>
      <c r="U15" s="52"/>
      <c r="V15" s="52"/>
      <c r="W15" s="52"/>
      <c r="X15" s="54"/>
      <c r="Y15" s="52"/>
      <c r="Z15" s="55">
        <f t="shared" si="3"/>
        <v>0</v>
      </c>
      <c r="AA15" s="288"/>
      <c r="AB15" s="297">
        <f>IF(OR($P$3=Tarifs!$A$94,$P$3=Tarifs!$A$95,$P$3=Tarifs!$A$95,$P$3=Tarifs!$A$104),0,I15*IFERROR(VLOOKUP(Tarifs!D$96,RABAIS,2,FALSE),0))</f>
        <v>0</v>
      </c>
      <c r="AC15" s="297">
        <f>IF($P$3=Tarifs!$A$104,IF(OR($P$7=0,I15&lt;=AD14),I15,AD14),0)</f>
        <v>0</v>
      </c>
      <c r="AD15" s="298">
        <f t="shared" si="4"/>
        <v>0</v>
      </c>
      <c r="AE15" s="298">
        <f t="shared" si="5"/>
        <v>0</v>
      </c>
      <c r="AF15" s="298">
        <f>IF(Tarifs!D$96=8,AC15+AE15,AB15)</f>
        <v>0</v>
      </c>
      <c r="AG15" s="297">
        <v>0</v>
      </c>
      <c r="AH15" s="298">
        <f t="shared" si="6"/>
        <v>0</v>
      </c>
      <c r="AI15" s="298">
        <f>IF($P$3=Tarifs!$A$104,AC15+AE15,AB15)</f>
        <v>0</v>
      </c>
      <c r="AJ15" s="14"/>
      <c r="AK15" s="14"/>
      <c r="AL15" s="14"/>
      <c r="AM15" s="14"/>
    </row>
    <row r="16" spans="1:39" ht="14.25" customHeight="1" x14ac:dyDescent="0.25">
      <c r="A16" s="385"/>
      <c r="B16" s="386"/>
      <c r="C16" s="462"/>
      <c r="D16" s="413"/>
      <c r="E16" s="2"/>
      <c r="F16" s="57" t="s">
        <v>1</v>
      </c>
      <c r="G16" s="58">
        <f>IF(OR(A16="",E16=""),0,(VLOOKUP(A16,Tarifs!A$48:E$83,IF(E16="Day",2,IF(E16="Weekend",3,IF(E16="Week",4,IF(E16="Month",5,"")))),FALSE)))</f>
        <v>0</v>
      </c>
      <c r="H16" s="58" t="s">
        <v>26</v>
      </c>
      <c r="I16" s="59">
        <f t="shared" si="0"/>
        <v>0</v>
      </c>
      <c r="J16" s="60" t="s">
        <v>27</v>
      </c>
      <c r="K16" s="59">
        <f t="shared" si="1"/>
        <v>0</v>
      </c>
      <c r="L16" s="60" t="s">
        <v>26</v>
      </c>
      <c r="M16" s="61">
        <f t="shared" si="2"/>
        <v>0</v>
      </c>
      <c r="N16" s="14"/>
      <c r="O16" s="50"/>
      <c r="P16" s="52"/>
      <c r="Q16" s="52"/>
      <c r="R16" s="53"/>
      <c r="S16" s="52"/>
      <c r="T16" s="52"/>
      <c r="U16" s="52"/>
      <c r="V16" s="52"/>
      <c r="W16" s="52"/>
      <c r="X16" s="54"/>
      <c r="Y16" s="52"/>
      <c r="Z16" s="62">
        <f t="shared" si="3"/>
        <v>0</v>
      </c>
      <c r="AA16" s="288"/>
      <c r="AB16" s="297">
        <f>IF(OR($P$3=Tarifs!$A$94,$P$3=Tarifs!$A$95,$P$3=Tarifs!$A$95,$P$3=Tarifs!$A$104),0,I16*IFERROR(VLOOKUP(Tarifs!D$96,RABAIS,2,FALSE),0))</f>
        <v>0</v>
      </c>
      <c r="AC16" s="297">
        <f>IF($P$3=Tarifs!$A$104,IF(OR($P$7=0,I16&lt;=AD15),I16,AD15),0)</f>
        <v>0</v>
      </c>
      <c r="AD16" s="298">
        <f t="shared" si="4"/>
        <v>0</v>
      </c>
      <c r="AE16" s="298">
        <f t="shared" si="5"/>
        <v>0</v>
      </c>
      <c r="AF16" s="298">
        <f>IF(Tarifs!D$96=8,AC16+AE16,AB16)</f>
        <v>0</v>
      </c>
      <c r="AG16" s="297">
        <v>0</v>
      </c>
      <c r="AH16" s="298">
        <f t="shared" si="6"/>
        <v>0</v>
      </c>
      <c r="AI16" s="298">
        <f>IF($P$3=Tarifs!$A$104,AC16+AE16,AB16)</f>
        <v>0</v>
      </c>
      <c r="AJ16" s="14"/>
      <c r="AK16" s="14"/>
      <c r="AL16" s="14"/>
      <c r="AM16" s="14"/>
    </row>
    <row r="17" spans="1:39" ht="14.25" customHeight="1" x14ac:dyDescent="0.25">
      <c r="A17" s="389"/>
      <c r="B17" s="390"/>
      <c r="C17" s="461"/>
      <c r="D17" s="413"/>
      <c r="E17" s="1"/>
      <c r="F17" s="44" t="s">
        <v>1</v>
      </c>
      <c r="G17" s="45">
        <f>IF(OR(A17="",E17=""),0,(VLOOKUP(A17,Tarifs!A$48:E$83,IF(E17="Day",2,IF(E17="Weekend",3,IF(E17="Week",4,IF(E17="Month",5,"")))),FALSE)))</f>
        <v>0</v>
      </c>
      <c r="H17" s="45" t="s">
        <v>26</v>
      </c>
      <c r="I17" s="47">
        <f t="shared" si="0"/>
        <v>0</v>
      </c>
      <c r="J17" s="48" t="s">
        <v>27</v>
      </c>
      <c r="K17" s="47">
        <f t="shared" si="1"/>
        <v>0</v>
      </c>
      <c r="L17" s="48" t="s">
        <v>26</v>
      </c>
      <c r="M17" s="49">
        <f t="shared" si="2"/>
        <v>0</v>
      </c>
      <c r="N17" s="14"/>
      <c r="O17" s="50"/>
      <c r="P17" s="52"/>
      <c r="Q17" s="52"/>
      <c r="R17" s="53"/>
      <c r="S17" s="52"/>
      <c r="T17" s="52"/>
      <c r="U17" s="52"/>
      <c r="V17" s="52"/>
      <c r="W17" s="52"/>
      <c r="X17" s="54"/>
      <c r="Y17" s="51"/>
      <c r="Z17" s="55">
        <f t="shared" si="3"/>
        <v>0</v>
      </c>
      <c r="AA17" s="288"/>
      <c r="AB17" s="297">
        <f>IF(OR($P$3=Tarifs!$A$94,$P$3=Tarifs!$A$95,$P$3=Tarifs!$A$95,$P$3=Tarifs!$A$104),0,I17*IFERROR(VLOOKUP(Tarifs!D$96,RABAIS,2,FALSE),0))</f>
        <v>0</v>
      </c>
      <c r="AC17" s="297">
        <f>IF($P$3=Tarifs!$A$104,IF(OR($P$7=0,I17&lt;=AD16),I17,AD16),0)</f>
        <v>0</v>
      </c>
      <c r="AD17" s="298">
        <f t="shared" si="4"/>
        <v>0</v>
      </c>
      <c r="AE17" s="298">
        <f t="shared" si="5"/>
        <v>0</v>
      </c>
      <c r="AF17" s="298">
        <f>IF(Tarifs!D$96=8,AC17+AE17,AB17)</f>
        <v>0</v>
      </c>
      <c r="AG17" s="297">
        <v>0</v>
      </c>
      <c r="AH17" s="298">
        <f t="shared" si="6"/>
        <v>0</v>
      </c>
      <c r="AI17" s="298">
        <f>IF($P$3=Tarifs!$A$104,AC17+AE17,AB17)</f>
        <v>0</v>
      </c>
      <c r="AJ17" s="14"/>
      <c r="AK17" s="14"/>
      <c r="AL17" s="14"/>
      <c r="AM17" s="14"/>
    </row>
    <row r="18" spans="1:39" ht="14.25" customHeight="1" x14ac:dyDescent="0.25">
      <c r="A18" s="385"/>
      <c r="B18" s="386"/>
      <c r="C18" s="462"/>
      <c r="D18" s="413"/>
      <c r="E18" s="2"/>
      <c r="F18" s="57" t="s">
        <v>1</v>
      </c>
      <c r="G18" s="58">
        <f>IF(OR(A18="",E18=""),0,(VLOOKUP(A18,Tarifs!A$48:E$83,IF(E18="Day",2,IF(E18="Weekend",3,IF(E18="Week",4,IF(E18="Month",5,"")))),FALSE)))</f>
        <v>0</v>
      </c>
      <c r="H18" s="58" t="s">
        <v>26</v>
      </c>
      <c r="I18" s="59">
        <f t="shared" si="0"/>
        <v>0</v>
      </c>
      <c r="J18" s="60" t="s">
        <v>27</v>
      </c>
      <c r="K18" s="59">
        <f t="shared" si="1"/>
        <v>0</v>
      </c>
      <c r="L18" s="60" t="s">
        <v>26</v>
      </c>
      <c r="M18" s="61">
        <f t="shared" si="2"/>
        <v>0</v>
      </c>
      <c r="N18" s="14"/>
      <c r="O18" s="50"/>
      <c r="P18" s="52"/>
      <c r="Q18" s="52"/>
      <c r="R18" s="53"/>
      <c r="S18" s="52"/>
      <c r="T18" s="52"/>
      <c r="U18" s="52"/>
      <c r="V18" s="52"/>
      <c r="W18" s="52"/>
      <c r="X18" s="54"/>
      <c r="Y18" s="51"/>
      <c r="Z18" s="62">
        <f t="shared" si="3"/>
        <v>0</v>
      </c>
      <c r="AA18" s="288"/>
      <c r="AB18" s="297">
        <f>IF(OR($P$3=Tarifs!$A$94,$P$3=Tarifs!$A$95,$P$3=Tarifs!$A$95,$P$3=Tarifs!$A$104),0,I18*IFERROR(VLOOKUP(Tarifs!D$96,RABAIS,2,FALSE),0))</f>
        <v>0</v>
      </c>
      <c r="AC18" s="297">
        <f>IF($P$3=Tarifs!$A$104,IF(OR($P$7=0,I18&lt;=AD17),I18,AD17),0)</f>
        <v>0</v>
      </c>
      <c r="AD18" s="298">
        <f t="shared" si="4"/>
        <v>0</v>
      </c>
      <c r="AE18" s="298">
        <f t="shared" si="5"/>
        <v>0</v>
      </c>
      <c r="AF18" s="298">
        <f>IF(Tarifs!D$96=8,AC18+AE18,AB18)</f>
        <v>0</v>
      </c>
      <c r="AG18" s="297">
        <v>0</v>
      </c>
      <c r="AH18" s="298">
        <f t="shared" si="6"/>
        <v>0</v>
      </c>
      <c r="AI18" s="298">
        <f>IF($P$3=Tarifs!$A$104,AC18+AE18,AB18)</f>
        <v>0</v>
      </c>
      <c r="AJ18" s="14"/>
      <c r="AK18" s="14"/>
      <c r="AL18" s="14"/>
      <c r="AM18" s="14"/>
    </row>
    <row r="19" spans="1:39" ht="14.25" customHeight="1" thickBot="1" x14ac:dyDescent="0.3">
      <c r="A19" s="387"/>
      <c r="B19" s="388"/>
      <c r="C19" s="466"/>
      <c r="D19" s="417"/>
      <c r="E19" s="3"/>
      <c r="F19" s="63" t="s">
        <v>1</v>
      </c>
      <c r="G19" s="64">
        <f>IF(OR(A19="",E19=""),0,(VLOOKUP(A19,Tarifs!A$48:E$83,IF(E19="Day",2,IF(E19="Weekend",3,IF(E19="Week",4,IF(E19="Month",5,"")))),FALSE)))</f>
        <v>0</v>
      </c>
      <c r="H19" s="64" t="s">
        <v>26</v>
      </c>
      <c r="I19" s="65">
        <f t="shared" si="0"/>
        <v>0</v>
      </c>
      <c r="J19" s="66" t="s">
        <v>27</v>
      </c>
      <c r="K19" s="65">
        <f t="shared" si="1"/>
        <v>0</v>
      </c>
      <c r="L19" s="66" t="s">
        <v>26</v>
      </c>
      <c r="M19" s="67">
        <f t="shared" si="2"/>
        <v>0</v>
      </c>
      <c r="N19" s="14"/>
      <c r="O19" s="68"/>
      <c r="P19" s="69"/>
      <c r="Q19" s="69"/>
      <c r="R19" s="70"/>
      <c r="S19" s="69"/>
      <c r="T19" s="69"/>
      <c r="U19" s="69"/>
      <c r="V19" s="69"/>
      <c r="W19" s="69"/>
      <c r="X19" s="71"/>
      <c r="Y19" s="51"/>
      <c r="Z19" s="72">
        <f t="shared" si="3"/>
        <v>0</v>
      </c>
      <c r="AA19" s="288"/>
      <c r="AB19" s="297">
        <f>IF(OR($P$3=Tarifs!$A$94,$P$3=Tarifs!$A$95,$P$3=Tarifs!$A$95,$P$3=Tarifs!$A$104),0,I19*IFERROR(VLOOKUP(Tarifs!D$96,RABAIS,2,FALSE),0))</f>
        <v>0</v>
      </c>
      <c r="AC19" s="297">
        <f>IF($P$3=Tarifs!$A$104,IF(OR($P$7=0,I19&lt;=AD18),I19,AD18),0)</f>
        <v>0</v>
      </c>
      <c r="AD19" s="298">
        <f t="shared" si="4"/>
        <v>0</v>
      </c>
      <c r="AE19" s="298">
        <f t="shared" si="5"/>
        <v>0</v>
      </c>
      <c r="AF19" s="298">
        <f>IF(Tarifs!D$96=8,AC19+AE19,AB19)</f>
        <v>0</v>
      </c>
      <c r="AG19" s="297">
        <v>0</v>
      </c>
      <c r="AH19" s="298">
        <f t="shared" si="6"/>
        <v>0</v>
      </c>
      <c r="AI19" s="298">
        <f>IF($P$3=Tarifs!$A$104,AC19+AE19,AB19)</f>
        <v>0</v>
      </c>
      <c r="AJ19" s="14"/>
      <c r="AK19" s="14"/>
      <c r="AL19" s="14"/>
      <c r="AM19" s="14"/>
    </row>
    <row r="20" spans="1:39" ht="16.5" customHeight="1" thickTop="1" thickBot="1" x14ac:dyDescent="0.35">
      <c r="A20" s="467" t="s">
        <v>28</v>
      </c>
      <c r="B20" s="468"/>
      <c r="C20" s="401"/>
      <c r="D20" s="401"/>
      <c r="E20" s="401"/>
      <c r="F20" s="401"/>
      <c r="G20" s="402"/>
      <c r="H20" s="73"/>
      <c r="I20" s="74">
        <f>SUM(I13:I19)</f>
        <v>0</v>
      </c>
      <c r="J20" s="75" t="s">
        <v>27</v>
      </c>
      <c r="K20" s="74">
        <f>SUM(K13:K19)</f>
        <v>0</v>
      </c>
      <c r="L20" s="75" t="s">
        <v>26</v>
      </c>
      <c r="M20" s="76">
        <f>SUM(M13:M19)</f>
        <v>0</v>
      </c>
      <c r="N20" s="14"/>
      <c r="O20" s="77"/>
      <c r="P20" s="74"/>
      <c r="Q20" s="74"/>
      <c r="R20" s="74"/>
      <c r="S20" s="74"/>
      <c r="T20" s="74"/>
      <c r="U20" s="73"/>
      <c r="V20" s="74"/>
      <c r="W20" s="73"/>
      <c r="X20" s="76"/>
      <c r="Y20" s="51"/>
      <c r="Z20" s="78">
        <f>SUM(Z13:Z19)</f>
        <v>0</v>
      </c>
      <c r="AA20" s="300"/>
      <c r="AB20" s="297"/>
      <c r="AC20" s="297"/>
      <c r="AD20" s="299"/>
      <c r="AE20" s="299"/>
      <c r="AF20" s="299"/>
      <c r="AG20" s="299"/>
      <c r="AH20" s="299"/>
      <c r="AI20" s="299"/>
      <c r="AJ20" s="14"/>
      <c r="AK20" s="14"/>
      <c r="AL20" s="14"/>
      <c r="AM20" s="14"/>
    </row>
    <row r="21" spans="1:39" ht="7.5" customHeight="1" thickBot="1" x14ac:dyDescent="0.3">
      <c r="Z21" s="22"/>
      <c r="AA21" s="291"/>
      <c r="AB21" s="297"/>
      <c r="AC21" s="297"/>
      <c r="AD21" s="299"/>
      <c r="AE21" s="299"/>
      <c r="AF21" s="299"/>
      <c r="AG21" s="299"/>
      <c r="AH21" s="299"/>
      <c r="AI21" s="299"/>
      <c r="AJ21" s="14"/>
      <c r="AK21" s="14"/>
      <c r="AL21" s="14"/>
      <c r="AM21" s="14"/>
    </row>
    <row r="22" spans="1:39" ht="35.25" customHeight="1" x14ac:dyDescent="0.25">
      <c r="A22" s="79" t="s">
        <v>166</v>
      </c>
      <c r="B22" s="394" t="s">
        <v>150</v>
      </c>
      <c r="C22" s="80"/>
      <c r="D22" s="80"/>
      <c r="E22" s="80"/>
      <c r="F22" s="80"/>
      <c r="G22" s="469" t="s">
        <v>29</v>
      </c>
      <c r="H22" s="404"/>
      <c r="I22" s="404"/>
      <c r="J22" s="404"/>
      <c r="K22" s="404"/>
      <c r="L22" s="404"/>
      <c r="M22" s="405"/>
      <c r="N22" s="14"/>
      <c r="O22" s="324"/>
      <c r="P22" s="81"/>
      <c r="Q22" s="81"/>
      <c r="R22" s="463" t="s">
        <v>82</v>
      </c>
      <c r="S22" s="404"/>
      <c r="T22" s="404"/>
      <c r="U22" s="404"/>
      <c r="V22" s="404"/>
      <c r="W22" s="404"/>
      <c r="X22" s="405"/>
      <c r="Y22" s="14"/>
      <c r="Z22" s="464" t="str">
        <f>IF(Tarifs!$D$96=Tarifs!$B$102,"TOTAL Payable by the organization", "TOTAL Payable by the artist")</f>
        <v>TOTAL Payable by the artist</v>
      </c>
      <c r="AA22" s="301"/>
      <c r="AB22" s="297"/>
      <c r="AC22" s="297"/>
      <c r="AD22" s="299"/>
      <c r="AE22" s="299"/>
      <c r="AF22" s="299"/>
      <c r="AG22" s="299"/>
      <c r="AH22" s="299"/>
      <c r="AI22" s="14"/>
      <c r="AJ22" s="14"/>
      <c r="AK22" s="14"/>
      <c r="AL22" s="14"/>
      <c r="AM22" s="14"/>
    </row>
    <row r="23" spans="1:39" ht="24" customHeight="1" x14ac:dyDescent="0.25">
      <c r="A23" s="82" t="s">
        <v>157</v>
      </c>
      <c r="B23" s="395"/>
      <c r="C23" s="406" t="s">
        <v>151</v>
      </c>
      <c r="D23" s="407"/>
      <c r="E23" s="408"/>
      <c r="F23" s="83"/>
      <c r="G23" s="83" t="s">
        <v>144</v>
      </c>
      <c r="H23" s="83"/>
      <c r="I23" s="83" t="s">
        <v>152</v>
      </c>
      <c r="J23" s="83"/>
      <c r="K23" s="83" t="str">
        <f>IFERROR(IF(OR($P$3=Tarifs!$A$94,$P$3=Tarifs!$A$95),"PRIM Support","PRIM Support "&amp;VLOOKUP($P$3,Tarifs!$A$94:$C$104,3,FALSE)*100&amp;"%"),"PRIM Support")</f>
        <v>PRIM Support</v>
      </c>
      <c r="L23" s="83"/>
      <c r="M23" s="84" t="s">
        <v>25</v>
      </c>
      <c r="N23" s="14"/>
      <c r="O23" s="322" t="s">
        <v>154</v>
      </c>
      <c r="P23" s="85" t="s">
        <v>151</v>
      </c>
      <c r="Q23" s="83"/>
      <c r="R23" s="83" t="s">
        <v>144</v>
      </c>
      <c r="S23" s="85"/>
      <c r="T23" s="83" t="s">
        <v>152</v>
      </c>
      <c r="U23" s="83"/>
      <c r="V23" s="83" t="s">
        <v>153</v>
      </c>
      <c r="W23" s="83"/>
      <c r="X23" s="84" t="s">
        <v>25</v>
      </c>
      <c r="Y23" s="38"/>
      <c r="Z23" s="465"/>
      <c r="AA23" s="287"/>
      <c r="AB23" s="297"/>
      <c r="AC23" s="297"/>
      <c r="AD23" s="298"/>
      <c r="AE23" s="299"/>
      <c r="AF23" s="298"/>
      <c r="AG23" s="297"/>
      <c r="AH23" s="298"/>
      <c r="AI23" s="14"/>
      <c r="AJ23" s="14"/>
      <c r="AK23" s="14"/>
      <c r="AL23" s="14"/>
      <c r="AM23" s="14"/>
    </row>
    <row r="24" spans="1:39" ht="14.25" customHeight="1" x14ac:dyDescent="0.25">
      <c r="A24" s="4"/>
      <c r="B24" s="328"/>
      <c r="C24" s="409"/>
      <c r="D24" s="392"/>
      <c r="E24" s="393"/>
      <c r="F24" s="44" t="s">
        <v>1</v>
      </c>
      <c r="G24" s="45">
        <f>IF(A24="",0,VLOOKUP(A24,Tarifs!A$3:E$21,2,FALSE))</f>
        <v>0</v>
      </c>
      <c r="H24" s="46" t="s">
        <v>26</v>
      </c>
      <c r="I24" s="47">
        <f t="shared" ref="I24:I32" si="7">C24*G24</f>
        <v>0</v>
      </c>
      <c r="J24" s="48" t="s">
        <v>27</v>
      </c>
      <c r="K24" s="47">
        <f>AF24</f>
        <v>0</v>
      </c>
      <c r="L24" s="48" t="s">
        <v>26</v>
      </c>
      <c r="M24" s="49">
        <f t="shared" ref="M24:M32" si="8">I24-K24</f>
        <v>0</v>
      </c>
      <c r="N24" s="14"/>
      <c r="O24" s="326" t="str">
        <f>IF(B24=0,"",B24)</f>
        <v/>
      </c>
      <c r="P24" s="96" t="str">
        <f>IF(OR(B24=Tarifs!$A$35,B24=Tarifs!$A$36,B24=""),"", C24)</f>
        <v/>
      </c>
      <c r="Q24" s="87" t="s">
        <v>1</v>
      </c>
      <c r="R24" s="53">
        <f>IF(OR(B24="",B24=" "),0,VLOOKUP(B24,Techs_Images_Tarifs,2,FALSE))</f>
        <v>0</v>
      </c>
      <c r="S24" s="88" t="s">
        <v>26</v>
      </c>
      <c r="T24" s="52">
        <f t="shared" ref="T24:T31" si="9">IF(P24="",0,R24*P24)</f>
        <v>0</v>
      </c>
      <c r="U24" s="87" t="s">
        <v>27</v>
      </c>
      <c r="V24" s="52">
        <f>IF(OR(T24=0,$P$8=0),0,IF(Tarifs!D$96=8,IF(P$8&gt;T24,T24,P$8),0))</f>
        <v>0</v>
      </c>
      <c r="W24" s="52" t="s">
        <v>26</v>
      </c>
      <c r="X24" s="54">
        <f t="shared" ref="X24:X31" si="10">T24-V24</f>
        <v>0</v>
      </c>
      <c r="Y24" s="52"/>
      <c r="Z24" s="89">
        <f t="shared" ref="Z24:Z32" si="11">M24+X24</f>
        <v>0</v>
      </c>
      <c r="AA24" s="51" t="str">
        <f>IF(IFERROR(VLOOKUP(A24,Tarifs!A$3:C$19,3,FALSE),"")="x","Tech PRIM","")</f>
        <v/>
      </c>
      <c r="AB24" s="297">
        <f>IF(OR($P$3=Tarifs!$A$94,$P$3=Tarifs!$A$95,$P$3=Tarifs!$A$104),0,IF($B24="",0,IF(AND(AA24="Tech PRIM",$B24=Tarifs!$A$35),I24*$AB$11,IF(AND(Tarifs!D$96=5,A24=Tarifs!$A$4),IF(I24&lt;=$T$7,I24,$T$7+(I24-$T$7)*75%),I24*IFERROR(VLOOKUP(Tarifs!D$96,RABAIS,2,FALSE),0)))))</f>
        <v>0</v>
      </c>
      <c r="AC24" s="297">
        <f>IF($P$3=Tarifs!$A$104,IF(AND(AA24="Tech PRIM",$B24=Tarifs!$A$35),0,IF(OR($P$7=0,I24&lt;=AD19),I24,AD19)),0)</f>
        <v>0</v>
      </c>
      <c r="AD24" s="298">
        <f>AD19-AC24</f>
        <v>0</v>
      </c>
      <c r="AE24" s="298">
        <f>(I24-AC24)*$AE$11</f>
        <v>0</v>
      </c>
      <c r="AF24" s="298">
        <f>IF($P$3=Tarifs!$A$104,AC24+AE24,AB24)</f>
        <v>0</v>
      </c>
      <c r="AG24" s="297">
        <f>IF($P$3=Tarifs!$A$104,IF($P$8=0,0,IF(T24&lt;=AH19,T24,AH19)),0)</f>
        <v>0</v>
      </c>
      <c r="AH24" s="298">
        <f>AH19-AG24</f>
        <v>0</v>
      </c>
      <c r="AI24" s="298">
        <f t="shared" ref="AI24:AI32" si="12">AG24</f>
        <v>0</v>
      </c>
      <c r="AJ24" s="14"/>
      <c r="AK24" s="14"/>
      <c r="AL24" s="14"/>
      <c r="AM24" s="14"/>
    </row>
    <row r="25" spans="1:39" ht="14.25" customHeight="1" x14ac:dyDescent="0.25">
      <c r="A25" s="5"/>
      <c r="B25" s="329"/>
      <c r="C25" s="410"/>
      <c r="D25" s="392"/>
      <c r="E25" s="393"/>
      <c r="F25" s="57" t="s">
        <v>1</v>
      </c>
      <c r="G25" s="58">
        <f>IF(A25="",0,VLOOKUP(A25,Tarifs!A$3:E$21,2,FALSE))</f>
        <v>0</v>
      </c>
      <c r="H25" s="58" t="s">
        <v>26</v>
      </c>
      <c r="I25" s="59">
        <f t="shared" si="7"/>
        <v>0</v>
      </c>
      <c r="J25" s="60" t="s">
        <v>27</v>
      </c>
      <c r="K25" s="59">
        <f t="shared" ref="K25:K32" si="13">AF25</f>
        <v>0</v>
      </c>
      <c r="L25" s="60" t="s">
        <v>26</v>
      </c>
      <c r="M25" s="61">
        <f t="shared" si="8"/>
        <v>0</v>
      </c>
      <c r="N25" s="14"/>
      <c r="O25" s="327" t="str">
        <f t="shared" ref="O25:O31" si="14">IF(B25=0,"",B25)</f>
        <v/>
      </c>
      <c r="P25" s="90" t="str">
        <f>IF(OR(B25=Tarifs!$A$35,B25=Tarifs!$A$36,B25=""),"", C25)</f>
        <v/>
      </c>
      <c r="Q25" s="91" t="s">
        <v>1</v>
      </c>
      <c r="R25" s="92">
        <f t="shared" ref="R25:R31" si="15">IF(B25="",0,VLOOKUP(B25,Techs_Images_Tarifs,2,FALSE))</f>
        <v>0</v>
      </c>
      <c r="S25" s="91" t="s">
        <v>26</v>
      </c>
      <c r="T25" s="93">
        <f t="shared" si="9"/>
        <v>0</v>
      </c>
      <c r="U25" s="91" t="s">
        <v>27</v>
      </c>
      <c r="V25" s="93">
        <f>IF(OR(T25=0,$P$8=0),0,IF(Tarifs!D$96=8,IF(P$8&gt;T25,T25,P$8),0))</f>
        <v>0</v>
      </c>
      <c r="W25" s="93" t="s">
        <v>26</v>
      </c>
      <c r="X25" s="94">
        <f t="shared" si="10"/>
        <v>0</v>
      </c>
      <c r="Y25" s="52"/>
      <c r="Z25" s="95">
        <f t="shared" si="11"/>
        <v>0</v>
      </c>
      <c r="AA25" s="51" t="str">
        <f>IF(IFERROR(VLOOKUP(A25,Tarifs!A$3:C$19,3,FALSE),"")="x","Tech PRIM","")</f>
        <v/>
      </c>
      <c r="AB25" s="297">
        <f>IF(OR($P$3=Tarifs!$A$94,$P$3=Tarifs!$A$95,$P$3=Tarifs!$A$104),0,IF($B25="",0,IF(AND(AA25="Tech PRIM",$B25=Tarifs!$A$35),I25*$AB$11,IF(AND(Tarifs!D$96=5,A25=Tarifs!$A$4),IF(I25&lt;=$T$7,I25,$T$7+(I25-$T$7)*75%),I25*IFERROR(VLOOKUP(Tarifs!D$96,RABAIS,2,FALSE),0)))))</f>
        <v>0</v>
      </c>
      <c r="AC25" s="297">
        <f>IF($P$3=Tarifs!$A$104,IF(AND(AA25="Tech PRIM",$B25=Tarifs!$A$35),0,IF(OR($P$7=0,I25&lt;=AD24),I25,AD24)),0)</f>
        <v>0</v>
      </c>
      <c r="AD25" s="298">
        <f t="shared" ref="AD25:AD32" si="16">AD24-AC25</f>
        <v>0</v>
      </c>
      <c r="AE25" s="298">
        <f t="shared" ref="AE25:AE32" si="17">(X25-AC25)*$AE$11</f>
        <v>0</v>
      </c>
      <c r="AF25" s="298">
        <f>IF($P$3=Tarifs!$A$104,AC25+AE25,AB25)</f>
        <v>0</v>
      </c>
      <c r="AG25" s="297">
        <f>IF($P$3=Tarifs!$A$104,IF($P$8=0,0,IF(T25&lt;=AH24,T25,AH24)),0)</f>
        <v>0</v>
      </c>
      <c r="AH25" s="298">
        <f t="shared" ref="AH25:AH32" si="18">AH24-AG25</f>
        <v>0</v>
      </c>
      <c r="AI25" s="298">
        <f t="shared" si="12"/>
        <v>0</v>
      </c>
      <c r="AJ25" s="14"/>
      <c r="AK25" s="14"/>
      <c r="AL25" s="14"/>
      <c r="AM25" s="14"/>
    </row>
    <row r="26" spans="1:39" ht="14.25" customHeight="1" x14ac:dyDescent="0.25">
      <c r="A26" s="4"/>
      <c r="B26" s="328"/>
      <c r="C26" s="409"/>
      <c r="D26" s="392"/>
      <c r="E26" s="393"/>
      <c r="F26" s="44" t="s">
        <v>1</v>
      </c>
      <c r="G26" s="45">
        <f>IF(A26="",0,VLOOKUP(A26,Tarifs!A$3:E$21,2,FALSE))</f>
        <v>0</v>
      </c>
      <c r="H26" s="45" t="s">
        <v>26</v>
      </c>
      <c r="I26" s="47">
        <f t="shared" si="7"/>
        <v>0</v>
      </c>
      <c r="J26" s="48" t="s">
        <v>27</v>
      </c>
      <c r="K26" s="47">
        <f t="shared" si="13"/>
        <v>0</v>
      </c>
      <c r="L26" s="48" t="s">
        <v>26</v>
      </c>
      <c r="M26" s="49">
        <f t="shared" si="8"/>
        <v>0</v>
      </c>
      <c r="N26" s="14"/>
      <c r="O26" s="326" t="str">
        <f t="shared" si="14"/>
        <v/>
      </c>
      <c r="P26" s="96" t="str">
        <f>IF(OR(B26=Tarifs!$A$35,B26=Tarifs!$A$36,B26=""),"", C26)</f>
        <v/>
      </c>
      <c r="Q26" s="87" t="s">
        <v>1</v>
      </c>
      <c r="R26" s="53">
        <f t="shared" si="15"/>
        <v>0</v>
      </c>
      <c r="S26" s="87" t="s">
        <v>26</v>
      </c>
      <c r="T26" s="52">
        <f t="shared" si="9"/>
        <v>0</v>
      </c>
      <c r="U26" s="87" t="s">
        <v>27</v>
      </c>
      <c r="V26" s="52">
        <f>IF(OR(T26=0,$P$8=0),0,IF(Tarifs!D$96=8,IF(P$8&gt;T26,T26,P$8),0))</f>
        <v>0</v>
      </c>
      <c r="W26" s="52" t="s">
        <v>26</v>
      </c>
      <c r="X26" s="54">
        <f t="shared" si="10"/>
        <v>0</v>
      </c>
      <c r="Y26" s="52"/>
      <c r="Z26" s="89">
        <f t="shared" si="11"/>
        <v>0</v>
      </c>
      <c r="AA26" s="51" t="str">
        <f>IF(IFERROR(VLOOKUP(A26,Tarifs!A$3:C$19,3,FALSE),"")="x","Tech PRIM","")</f>
        <v/>
      </c>
      <c r="AB26" s="297">
        <f>IF(OR($P$3=Tarifs!$A$94,$P$3=Tarifs!$A$95,$P$3=Tarifs!$A$104),0,IF($B26="",0,IF(AND(AA26="Tech PRIM",$B26=Tarifs!$A$35),I26*$AB$11,IF(AND(Tarifs!D$96=5,A26=Tarifs!$A$4),IF(I26&lt;=$T$7,I26,$T$7+(I26-$T$7)*75%),I26*IFERROR(VLOOKUP(Tarifs!D$96,RABAIS,2,FALSE),0)))))</f>
        <v>0</v>
      </c>
      <c r="AC26" s="297">
        <f>IF($P$3=Tarifs!$A$104,IF(AND(AA26="Tech PRIM",$B26=Tarifs!$A$35),0,IF(OR($P$7=0,I26&lt;=AD25),I26,AD25)),0)</f>
        <v>0</v>
      </c>
      <c r="AD26" s="298">
        <f t="shared" si="16"/>
        <v>0</v>
      </c>
      <c r="AE26" s="298">
        <f t="shared" si="17"/>
        <v>0</v>
      </c>
      <c r="AF26" s="298">
        <f>IF($P$3=Tarifs!$A$104,AC26+AE26,AB26)</f>
        <v>0</v>
      </c>
      <c r="AG26" s="297">
        <f>IF($P$3=Tarifs!$A$104,IF($P$8=0,0,IF(T26&lt;=AH25,T26,AH25)),0)</f>
        <v>0</v>
      </c>
      <c r="AH26" s="298">
        <f t="shared" si="18"/>
        <v>0</v>
      </c>
      <c r="AI26" s="298">
        <f t="shared" si="12"/>
        <v>0</v>
      </c>
      <c r="AJ26" s="14"/>
      <c r="AK26" s="14"/>
      <c r="AL26" s="14"/>
      <c r="AM26" s="14"/>
    </row>
    <row r="27" spans="1:39" ht="14.25" customHeight="1" x14ac:dyDescent="0.25">
      <c r="A27" s="5"/>
      <c r="B27" s="329"/>
      <c r="C27" s="410"/>
      <c r="D27" s="392"/>
      <c r="E27" s="393"/>
      <c r="F27" s="57" t="s">
        <v>1</v>
      </c>
      <c r="G27" s="58">
        <f>IF(A27="",0,VLOOKUP(A27,Tarifs!A$3:E$21,2,FALSE))</f>
        <v>0</v>
      </c>
      <c r="H27" s="58" t="s">
        <v>26</v>
      </c>
      <c r="I27" s="59">
        <f t="shared" si="7"/>
        <v>0</v>
      </c>
      <c r="J27" s="60" t="s">
        <v>27</v>
      </c>
      <c r="K27" s="59">
        <f t="shared" si="13"/>
        <v>0</v>
      </c>
      <c r="L27" s="60" t="s">
        <v>26</v>
      </c>
      <c r="M27" s="61">
        <f t="shared" si="8"/>
        <v>0</v>
      </c>
      <c r="N27" s="14"/>
      <c r="O27" s="327" t="str">
        <f t="shared" si="14"/>
        <v/>
      </c>
      <c r="P27" s="90" t="str">
        <f>IF(OR(B27=Tarifs!$A$35,B27=Tarifs!$A$36,B27=""),"", C27)</f>
        <v/>
      </c>
      <c r="Q27" s="91" t="s">
        <v>1</v>
      </c>
      <c r="R27" s="92">
        <f t="shared" si="15"/>
        <v>0</v>
      </c>
      <c r="S27" s="91" t="s">
        <v>26</v>
      </c>
      <c r="T27" s="93">
        <f t="shared" si="9"/>
        <v>0</v>
      </c>
      <c r="U27" s="91" t="s">
        <v>27</v>
      </c>
      <c r="V27" s="93">
        <f>IF(OR(T27=0,$P$8=0),0,IF(Tarifs!D$96=8,IF(P$8&gt;T27,T27,P$8),0))</f>
        <v>0</v>
      </c>
      <c r="W27" s="93" t="s">
        <v>26</v>
      </c>
      <c r="X27" s="94">
        <f t="shared" si="10"/>
        <v>0</v>
      </c>
      <c r="Y27" s="52"/>
      <c r="Z27" s="95">
        <f t="shared" si="11"/>
        <v>0</v>
      </c>
      <c r="AA27" s="51" t="str">
        <f>IF(IFERROR(VLOOKUP(A27,Tarifs!A$3:C$19,3,FALSE),"")="x","Tech PRIM","")</f>
        <v/>
      </c>
      <c r="AB27" s="297">
        <f>IF(OR($P$3=Tarifs!$A$94,$P$3=Tarifs!$A$95,$P$3=Tarifs!$A$104),0,IF($B27="",0,IF(AND(AA27="Tech PRIM",$B27=Tarifs!$A$35),I27*$AB$11,IF(AND(Tarifs!D$96=5,A27=Tarifs!$A$4),IF(I27&lt;=$T$7,I27,$T$7+(I27-$T$7)*75%),I27*IFERROR(VLOOKUP(Tarifs!D$96,RABAIS,2,FALSE),0)))))</f>
        <v>0</v>
      </c>
      <c r="AC27" s="297">
        <f>IF($P$3=Tarifs!$A$104,IF(AND(AA27="Tech PRIM",$B27=Tarifs!$A$35),0,IF(OR($P$7=0,I27&lt;=AD26),I27,AD26)),0)</f>
        <v>0</v>
      </c>
      <c r="AD27" s="298">
        <f t="shared" si="16"/>
        <v>0</v>
      </c>
      <c r="AE27" s="298">
        <f t="shared" si="17"/>
        <v>0</v>
      </c>
      <c r="AF27" s="298">
        <f>IF($P$3=Tarifs!$A$104,AC27+AE27,AB27)</f>
        <v>0</v>
      </c>
      <c r="AG27" s="297">
        <f>IF($P$3=Tarifs!$A$104,IF($P$8=0,0,IF(T27&lt;=AH26,T27,AH26)),0)</f>
        <v>0</v>
      </c>
      <c r="AH27" s="298">
        <f t="shared" si="18"/>
        <v>0</v>
      </c>
      <c r="AI27" s="298">
        <f t="shared" si="12"/>
        <v>0</v>
      </c>
      <c r="AJ27" s="14"/>
      <c r="AK27" s="14"/>
      <c r="AL27" s="14"/>
      <c r="AM27" s="14"/>
    </row>
    <row r="28" spans="1:39" ht="14.25" customHeight="1" x14ac:dyDescent="0.25">
      <c r="A28" s="4"/>
      <c r="B28" s="328"/>
      <c r="C28" s="409"/>
      <c r="D28" s="392"/>
      <c r="E28" s="393"/>
      <c r="F28" s="44" t="s">
        <v>1</v>
      </c>
      <c r="G28" s="45">
        <f>IF(A28="",0,VLOOKUP(A28,Tarifs!A$3:E$21,2,FALSE))</f>
        <v>0</v>
      </c>
      <c r="H28" s="45" t="s">
        <v>26</v>
      </c>
      <c r="I28" s="47">
        <f t="shared" si="7"/>
        <v>0</v>
      </c>
      <c r="J28" s="48" t="s">
        <v>27</v>
      </c>
      <c r="K28" s="47">
        <f t="shared" si="13"/>
        <v>0</v>
      </c>
      <c r="L28" s="48" t="s">
        <v>26</v>
      </c>
      <c r="M28" s="49">
        <f t="shared" si="8"/>
        <v>0</v>
      </c>
      <c r="N28" s="14"/>
      <c r="O28" s="326" t="str">
        <f t="shared" si="14"/>
        <v/>
      </c>
      <c r="P28" s="96" t="str">
        <f>IF(OR(B28=Tarifs!$A$35,B28=Tarifs!$A$36,B28=""),"", C28)</f>
        <v/>
      </c>
      <c r="Q28" s="87" t="s">
        <v>1</v>
      </c>
      <c r="R28" s="53">
        <f t="shared" si="15"/>
        <v>0</v>
      </c>
      <c r="S28" s="87" t="s">
        <v>26</v>
      </c>
      <c r="T28" s="52">
        <f t="shared" si="9"/>
        <v>0</v>
      </c>
      <c r="U28" s="87" t="s">
        <v>27</v>
      </c>
      <c r="V28" s="52">
        <f>IF(OR(T28=0,$P$8=0),0,IF(Tarifs!D$96=8,IF(P$8&gt;T28,T28,P$8),0))</f>
        <v>0</v>
      </c>
      <c r="W28" s="52" t="s">
        <v>26</v>
      </c>
      <c r="X28" s="54">
        <f t="shared" si="10"/>
        <v>0</v>
      </c>
      <c r="Y28" s="52"/>
      <c r="Z28" s="89">
        <f t="shared" si="11"/>
        <v>0</v>
      </c>
      <c r="AA28" s="51" t="str">
        <f>IF(IFERROR(VLOOKUP(A28,Tarifs!A$3:C$19,3,FALSE),"")="x","Tech PRIM","")</f>
        <v/>
      </c>
      <c r="AB28" s="297">
        <f>IF(OR($P$3=Tarifs!$A$94,$P$3=Tarifs!$A$95,$P$3=Tarifs!$A$104),0,IF($B28="",0,IF(AND(AA28="Tech PRIM",$B28=Tarifs!$A$35),I28*$AB$11,IF(AND(Tarifs!D$96=5,A28=Tarifs!$A$4),IF(I28&lt;=$T$7,I28,$T$7+(I28-$T$7)*75%),I28*IFERROR(VLOOKUP(Tarifs!D$96,RABAIS,2,FALSE),0)))))</f>
        <v>0</v>
      </c>
      <c r="AC28" s="297">
        <f>IF($P$3=Tarifs!$A$104,IF(AND(AA28="Tech PRIM",$B28=Tarifs!$A$35),0,IF(OR($P$7=0,I28&lt;=AD27),I28,AD27)),0)</f>
        <v>0</v>
      </c>
      <c r="AD28" s="298">
        <f t="shared" si="16"/>
        <v>0</v>
      </c>
      <c r="AE28" s="298">
        <f t="shared" si="17"/>
        <v>0</v>
      </c>
      <c r="AF28" s="298">
        <f>IF($P$3=Tarifs!$A$104,AC28+AE28,AB28)</f>
        <v>0</v>
      </c>
      <c r="AG28" s="297">
        <f>IF($P$3=Tarifs!$A$104,IF($P$8=0,0,IF(T28&lt;=AH27,T28,AH27)),0)</f>
        <v>0</v>
      </c>
      <c r="AH28" s="298">
        <f t="shared" si="18"/>
        <v>0</v>
      </c>
      <c r="AI28" s="298">
        <f t="shared" si="12"/>
        <v>0</v>
      </c>
      <c r="AJ28" s="14"/>
      <c r="AK28" s="14"/>
      <c r="AL28" s="14"/>
      <c r="AM28" s="14"/>
    </row>
    <row r="29" spans="1:39" ht="14.25" customHeight="1" x14ac:dyDescent="0.25">
      <c r="A29" s="5"/>
      <c r="B29" s="329"/>
      <c r="C29" s="410"/>
      <c r="D29" s="392"/>
      <c r="E29" s="393"/>
      <c r="F29" s="57" t="s">
        <v>1</v>
      </c>
      <c r="G29" s="58">
        <f>IF(A29="",0,VLOOKUP(A29,Tarifs!A$3:E$21,2,FALSE))</f>
        <v>0</v>
      </c>
      <c r="H29" s="58" t="s">
        <v>26</v>
      </c>
      <c r="I29" s="59">
        <f t="shared" si="7"/>
        <v>0</v>
      </c>
      <c r="J29" s="60" t="s">
        <v>27</v>
      </c>
      <c r="K29" s="59">
        <f t="shared" si="13"/>
        <v>0</v>
      </c>
      <c r="L29" s="60" t="s">
        <v>26</v>
      </c>
      <c r="M29" s="61">
        <f t="shared" si="8"/>
        <v>0</v>
      </c>
      <c r="N29" s="14"/>
      <c r="O29" s="327" t="str">
        <f t="shared" si="14"/>
        <v/>
      </c>
      <c r="P29" s="90" t="str">
        <f>IF(OR(B29=Tarifs!$A$35,B29=Tarifs!$A$36,B29=""),"", C29)</f>
        <v/>
      </c>
      <c r="Q29" s="91" t="s">
        <v>1</v>
      </c>
      <c r="R29" s="92">
        <f t="shared" si="15"/>
        <v>0</v>
      </c>
      <c r="S29" s="91" t="s">
        <v>26</v>
      </c>
      <c r="T29" s="93">
        <f t="shared" si="9"/>
        <v>0</v>
      </c>
      <c r="U29" s="91" t="s">
        <v>27</v>
      </c>
      <c r="V29" s="93">
        <f>IF(OR(T29=0,$P$8=0),0,IF(Tarifs!D$96=8,IF(P$8&gt;T29,T29,P$8),0))</f>
        <v>0</v>
      </c>
      <c r="W29" s="93" t="s">
        <v>26</v>
      </c>
      <c r="X29" s="94">
        <f t="shared" si="10"/>
        <v>0</v>
      </c>
      <c r="Y29" s="52"/>
      <c r="Z29" s="95">
        <f t="shared" si="11"/>
        <v>0</v>
      </c>
      <c r="AA29" s="51" t="str">
        <f>IF(IFERROR(VLOOKUP(A29,Tarifs!A$3:C$19,3,FALSE),"")="x","Tech PRIM","")</f>
        <v/>
      </c>
      <c r="AB29" s="297">
        <f>IF(OR($P$3=Tarifs!$A$94,$P$3=Tarifs!$A$95,$P$3=Tarifs!$A$104),0,IF($B29="",0,IF(AND(AA29="Tech PRIM",$B29=Tarifs!$A$35),I29*$AB$11,IF(AND(Tarifs!D$96=5,A29=Tarifs!$A$4),IF(I29&lt;=$T$7,I29,$T$7+(I29-$T$7)*75%),I29*IFERROR(VLOOKUP(Tarifs!D$96,RABAIS,2,FALSE),0)))))</f>
        <v>0</v>
      </c>
      <c r="AC29" s="297">
        <f>IF($P$3=Tarifs!$A$104,IF(AND(AA29="Tech PRIM",$B29=Tarifs!$A$35),0,IF(OR($P$7=0,I29&lt;=AD28),I29,AD28)),0)</f>
        <v>0</v>
      </c>
      <c r="AD29" s="298">
        <f t="shared" si="16"/>
        <v>0</v>
      </c>
      <c r="AE29" s="298">
        <f t="shared" si="17"/>
        <v>0</v>
      </c>
      <c r="AF29" s="298">
        <f>IF($P$3=Tarifs!$A$104,AC29+AE29,AB29)</f>
        <v>0</v>
      </c>
      <c r="AG29" s="297">
        <f>IF($P$3=Tarifs!$A$104,IF($P$8=0,0,IF(T29&lt;=AH28,T29,AH28)),0)</f>
        <v>0</v>
      </c>
      <c r="AH29" s="298">
        <f t="shared" si="18"/>
        <v>0</v>
      </c>
      <c r="AI29" s="298">
        <f t="shared" si="12"/>
        <v>0</v>
      </c>
      <c r="AJ29" s="14"/>
      <c r="AK29" s="14"/>
      <c r="AL29" s="14"/>
      <c r="AM29" s="14"/>
    </row>
    <row r="30" spans="1:39" ht="14.25" customHeight="1" x14ac:dyDescent="0.25">
      <c r="A30" s="4"/>
      <c r="B30" s="328"/>
      <c r="C30" s="409"/>
      <c r="D30" s="392"/>
      <c r="E30" s="393"/>
      <c r="F30" s="44" t="s">
        <v>1</v>
      </c>
      <c r="G30" s="45">
        <f>IF(A30="",0,VLOOKUP(A30,Tarifs!A$3:E$21,2,FALSE))</f>
        <v>0</v>
      </c>
      <c r="H30" s="45" t="s">
        <v>26</v>
      </c>
      <c r="I30" s="47">
        <f t="shared" si="7"/>
        <v>0</v>
      </c>
      <c r="J30" s="48" t="s">
        <v>27</v>
      </c>
      <c r="K30" s="47">
        <f t="shared" si="13"/>
        <v>0</v>
      </c>
      <c r="L30" s="48" t="s">
        <v>26</v>
      </c>
      <c r="M30" s="49">
        <f t="shared" si="8"/>
        <v>0</v>
      </c>
      <c r="N30" s="14"/>
      <c r="O30" s="326" t="str">
        <f t="shared" si="14"/>
        <v/>
      </c>
      <c r="P30" s="96" t="str">
        <f>IF(OR(B30=Tarifs!$A$35,B30=Tarifs!$A$36,B30=""),"", C30)</f>
        <v/>
      </c>
      <c r="Q30" s="87" t="s">
        <v>1</v>
      </c>
      <c r="R30" s="53">
        <f t="shared" si="15"/>
        <v>0</v>
      </c>
      <c r="S30" s="87" t="s">
        <v>26</v>
      </c>
      <c r="T30" s="52">
        <f t="shared" si="9"/>
        <v>0</v>
      </c>
      <c r="U30" s="87" t="s">
        <v>27</v>
      </c>
      <c r="V30" s="52">
        <f>IF(OR(T30=0,$P$8=0),0,IF(Tarifs!D$96=8,IF(P$8&gt;T30,T30,P$8),0))</f>
        <v>0</v>
      </c>
      <c r="W30" s="52" t="s">
        <v>26</v>
      </c>
      <c r="X30" s="54">
        <f t="shared" si="10"/>
        <v>0</v>
      </c>
      <c r="Y30" s="52"/>
      <c r="Z30" s="89">
        <f t="shared" si="11"/>
        <v>0</v>
      </c>
      <c r="AA30" s="51" t="str">
        <f>IF(IFERROR(VLOOKUP(A30,Tarifs!A$3:C$19,3,FALSE),"")="x","Tech PRIM","")</f>
        <v/>
      </c>
      <c r="AB30" s="297">
        <f>IF(OR($P$3=Tarifs!$A$94,$P$3=Tarifs!$A$95,$P$3=Tarifs!$A$104),0,IF($B30="",0,IF(AND(AA30="Tech PRIM",$B30=Tarifs!$A$35),I30*$AB$11,IF(AND(Tarifs!D$96=5,A30=Tarifs!$A$4),IF(I30&lt;=$T$7,I30,$T$7+(I30-$T$7)*75%),I30*IFERROR(VLOOKUP(Tarifs!D$96,RABAIS,2,FALSE),0)))))</f>
        <v>0</v>
      </c>
      <c r="AC30" s="297">
        <f>IF($P$3=Tarifs!$A$104,IF(AND(AA30="Tech PRIM",$B30=Tarifs!$A$35),0,IF(OR($P$7=0,I30&lt;=AD29),I30,AD29)),0)</f>
        <v>0</v>
      </c>
      <c r="AD30" s="298">
        <f t="shared" si="16"/>
        <v>0</v>
      </c>
      <c r="AE30" s="298">
        <f t="shared" si="17"/>
        <v>0</v>
      </c>
      <c r="AF30" s="298">
        <f>IF($P$3=Tarifs!$A$104,AC30+AE30,AB30)</f>
        <v>0</v>
      </c>
      <c r="AG30" s="297">
        <f>IF($P$3=Tarifs!$A$104,IF($P$8=0,0,IF(T30&lt;=AH29,T30,AH29)),0)</f>
        <v>0</v>
      </c>
      <c r="AH30" s="298">
        <f t="shared" si="18"/>
        <v>0</v>
      </c>
      <c r="AI30" s="298">
        <f t="shared" si="12"/>
        <v>0</v>
      </c>
      <c r="AJ30" s="14"/>
      <c r="AK30" s="14"/>
      <c r="AL30" s="14"/>
      <c r="AM30" s="14"/>
    </row>
    <row r="31" spans="1:39" ht="14.25" customHeight="1" x14ac:dyDescent="0.25">
      <c r="A31" s="5"/>
      <c r="B31" s="329"/>
      <c r="C31" s="410"/>
      <c r="D31" s="392"/>
      <c r="E31" s="393"/>
      <c r="F31" s="57" t="s">
        <v>1</v>
      </c>
      <c r="G31" s="58">
        <f>IF(A31="",0,VLOOKUP(A31,Tarifs!A$3:E$21,2,FALSE))</f>
        <v>0</v>
      </c>
      <c r="H31" s="58" t="s">
        <v>26</v>
      </c>
      <c r="I31" s="59">
        <f t="shared" si="7"/>
        <v>0</v>
      </c>
      <c r="J31" s="60" t="s">
        <v>27</v>
      </c>
      <c r="K31" s="59">
        <f t="shared" si="13"/>
        <v>0</v>
      </c>
      <c r="L31" s="60" t="s">
        <v>26</v>
      </c>
      <c r="M31" s="61">
        <f t="shared" si="8"/>
        <v>0</v>
      </c>
      <c r="N31" s="14"/>
      <c r="O31" s="327" t="str">
        <f t="shared" si="14"/>
        <v/>
      </c>
      <c r="P31" s="90" t="str">
        <f>IF(OR(B31=Tarifs!$A$35,B31=Tarifs!$A$36,B31=""),"", C31)</f>
        <v/>
      </c>
      <c r="Q31" s="91" t="s">
        <v>1</v>
      </c>
      <c r="R31" s="92">
        <f t="shared" si="15"/>
        <v>0</v>
      </c>
      <c r="S31" s="91" t="s">
        <v>26</v>
      </c>
      <c r="T31" s="93">
        <f t="shared" si="9"/>
        <v>0</v>
      </c>
      <c r="U31" s="91" t="s">
        <v>27</v>
      </c>
      <c r="V31" s="93">
        <f>IF(OR(T31=0,$P$8=0),0,IF(Tarifs!D$96=8,IF(P$8&gt;T31,T31,P$8),0))</f>
        <v>0</v>
      </c>
      <c r="W31" s="93" t="s">
        <v>26</v>
      </c>
      <c r="X31" s="94">
        <f t="shared" si="10"/>
        <v>0</v>
      </c>
      <c r="Y31" s="52"/>
      <c r="Z31" s="95">
        <f t="shared" si="11"/>
        <v>0</v>
      </c>
      <c r="AA31" s="51" t="str">
        <f>IF(IFERROR(VLOOKUP(A31,Tarifs!A$3:C$19,3,FALSE),"")="x","Tech PRIM","")</f>
        <v/>
      </c>
      <c r="AB31" s="297">
        <f>IF(OR($P$3=Tarifs!$A$94,$P$3=Tarifs!$A$95,$P$3=Tarifs!$A$104),0,IF($B31="",0,IF(AND(AA31="Tech PRIM",$B31=Tarifs!$A$35),I31*$AB$11,IF(AND(Tarifs!D$96=5,A31=Tarifs!$A$4),IF(I31&lt;=$T$7,I31,$T$7+(I31-$T$7)*75%),I31*IFERROR(VLOOKUP(Tarifs!D$96,RABAIS,2,FALSE),0)))))</f>
        <v>0</v>
      </c>
      <c r="AC31" s="297">
        <f>IF($P$3=Tarifs!$A$104,IF(AND(AA31="Tech PRIM",$B31=Tarifs!$A$35),0,IF(OR($P$7=0,I31&lt;=AD30),I31,AD30)),0)</f>
        <v>0</v>
      </c>
      <c r="AD31" s="298">
        <f t="shared" si="16"/>
        <v>0</v>
      </c>
      <c r="AE31" s="298">
        <f t="shared" si="17"/>
        <v>0</v>
      </c>
      <c r="AF31" s="298">
        <f>IF($P$3=Tarifs!$A$104,AC31+AE31,AB31)</f>
        <v>0</v>
      </c>
      <c r="AG31" s="297">
        <f>IF($P$3=Tarifs!$A$104,IF($P$8=0,0,IF(T31&lt;=AH30,T31,AH30)),0)</f>
        <v>0</v>
      </c>
      <c r="AH31" s="298">
        <f t="shared" si="18"/>
        <v>0</v>
      </c>
      <c r="AI31" s="298">
        <f t="shared" si="12"/>
        <v>0</v>
      </c>
      <c r="AJ31" s="14"/>
      <c r="AK31" s="14"/>
      <c r="AL31" s="14"/>
      <c r="AM31" s="14"/>
    </row>
    <row r="32" spans="1:39" ht="14.25" customHeight="1" thickBot="1" x14ac:dyDescent="0.3">
      <c r="A32" s="289" t="str">
        <f>Tarifs!A11</f>
        <v>Data management fee (flat fee)</v>
      </c>
      <c r="B32" s="323" t="s">
        <v>172</v>
      </c>
      <c r="C32" s="396">
        <f>IF(SUM(I24:I31)&gt;=4000,1,0)</f>
        <v>0</v>
      </c>
      <c r="D32" s="397"/>
      <c r="E32" s="398"/>
      <c r="F32" s="63" t="s">
        <v>1</v>
      </c>
      <c r="G32" s="65">
        <f>IF(C32=0,0,VLOOKUP(A32,Tarifs!A$3:E$21,2,FALSE))</f>
        <v>0</v>
      </c>
      <c r="H32" s="65"/>
      <c r="I32" s="65">
        <f t="shared" si="7"/>
        <v>0</v>
      </c>
      <c r="J32" s="97" t="s">
        <v>27</v>
      </c>
      <c r="K32" s="65">
        <f t="shared" si="13"/>
        <v>0</v>
      </c>
      <c r="L32" s="63"/>
      <c r="M32" s="67">
        <f t="shared" si="8"/>
        <v>0</v>
      </c>
      <c r="N32" s="14"/>
      <c r="O32" s="325"/>
      <c r="P32" s="98"/>
      <c r="Q32" s="69"/>
      <c r="R32" s="70"/>
      <c r="S32" s="69"/>
      <c r="T32" s="69"/>
      <c r="U32" s="69"/>
      <c r="V32" s="69"/>
      <c r="W32" s="69"/>
      <c r="X32" s="71"/>
      <c r="Y32" s="99"/>
      <c r="Z32" s="100">
        <f t="shared" si="11"/>
        <v>0</v>
      </c>
      <c r="AA32" s="51" t="str">
        <f>IF(IFERROR(VLOOKUP(A32,Tarifs!A$3:C$19,3,FALSE),"")="x","Tech PRIM","")</f>
        <v/>
      </c>
      <c r="AB32" s="297">
        <f>IF(OR($P$3=Tarifs!$A$94,$P$3=Tarifs!$A$95,$P$3=Tarifs!$A$95,$P$3=Tarifs!$A$104),0,IF($B32="",0,IF(AND(AA32="Tech PRIM",$B32=Tarifs!$A$35),I32*$AB$11,I32*IFERROR(VLOOKUP(Tarifs!D$96,RABAIS,2,FALSE),0))))</f>
        <v>0</v>
      </c>
      <c r="AC32" s="297">
        <f>IF($P$3=Tarifs!$A$104,IF(AND(AA32="Tech PRIM",$B32=Tarifs!$A$35),0,IF(OR($P$7=0,I32&lt;=AD31),I32,AD31)),0)</f>
        <v>0</v>
      </c>
      <c r="AD32" s="298">
        <f t="shared" si="16"/>
        <v>0</v>
      </c>
      <c r="AE32" s="298">
        <f t="shared" si="17"/>
        <v>0</v>
      </c>
      <c r="AF32" s="298">
        <f>IF($P$3=Tarifs!$A$104,AC32+AE32,AB32)</f>
        <v>0</v>
      </c>
      <c r="AG32" s="297">
        <f>IF($P$3=Tarifs!$A$104,IF($P$8=0,0,IF(T32&lt;=AH31,T32,AH31)),0)</f>
        <v>0</v>
      </c>
      <c r="AH32" s="298">
        <f t="shared" si="18"/>
        <v>0</v>
      </c>
      <c r="AI32" s="298">
        <f t="shared" si="12"/>
        <v>0</v>
      </c>
      <c r="AJ32" s="14"/>
      <c r="AK32" s="14"/>
      <c r="AL32" s="14"/>
      <c r="AM32" s="14"/>
    </row>
    <row r="33" spans="1:39" ht="18.75" customHeight="1" thickTop="1" thickBot="1" x14ac:dyDescent="0.35">
      <c r="A33" s="399" t="s">
        <v>165</v>
      </c>
      <c r="B33" s="400"/>
      <c r="C33" s="401"/>
      <c r="D33" s="401"/>
      <c r="E33" s="401"/>
      <c r="F33" s="401"/>
      <c r="G33" s="402"/>
      <c r="H33" s="101"/>
      <c r="I33" s="102">
        <f>SUM(I24:I32)</f>
        <v>0</v>
      </c>
      <c r="J33" s="103" t="s">
        <v>27</v>
      </c>
      <c r="K33" s="104">
        <f>SUM(K24:K32)</f>
        <v>0</v>
      </c>
      <c r="L33" s="105" t="s">
        <v>26</v>
      </c>
      <c r="M33" s="106">
        <f>SUM(M24:M32)</f>
        <v>0</v>
      </c>
      <c r="N33" s="14"/>
      <c r="O33" s="107"/>
      <c r="P33" s="108"/>
      <c r="Q33" s="108"/>
      <c r="R33" s="108"/>
      <c r="S33" s="108"/>
      <c r="T33" s="101">
        <f>SUM(T24:T32)</f>
        <v>0</v>
      </c>
      <c r="U33" s="109" t="s">
        <v>27</v>
      </c>
      <c r="V33" s="110">
        <f>SUM(V24:V32)</f>
        <v>0</v>
      </c>
      <c r="W33" s="111" t="s">
        <v>26</v>
      </c>
      <c r="X33" s="112">
        <f>SUM(X24:X32)</f>
        <v>0</v>
      </c>
      <c r="Y33" s="113"/>
      <c r="Z33" s="114">
        <f>SUM(Z24:Z32)</f>
        <v>0</v>
      </c>
      <c r="AA33" s="300"/>
      <c r="AB33" s="116"/>
      <c r="AC33" s="116"/>
      <c r="AD33" s="14"/>
      <c r="AE33" s="14"/>
      <c r="AF33" s="14"/>
      <c r="AG33" s="14"/>
      <c r="AH33" s="14"/>
      <c r="AI33" s="14"/>
      <c r="AJ33" s="14"/>
      <c r="AK33" s="14"/>
      <c r="AL33" s="14"/>
      <c r="AM33" s="14"/>
    </row>
    <row r="34" spans="1:39" ht="5.25" customHeight="1" thickBot="1" x14ac:dyDescent="0.3">
      <c r="A34" s="115"/>
      <c r="B34" s="115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16"/>
      <c r="Y34" s="14"/>
      <c r="Z34" s="14"/>
      <c r="AA34" s="287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ht="24" customHeight="1" x14ac:dyDescent="0.25">
      <c r="A35" s="117" t="s">
        <v>155</v>
      </c>
      <c r="B35" s="558" t="s">
        <v>150</v>
      </c>
      <c r="C35" s="118"/>
      <c r="D35" s="118"/>
      <c r="E35" s="118"/>
      <c r="F35" s="118"/>
      <c r="G35" s="403" t="s">
        <v>31</v>
      </c>
      <c r="H35" s="404"/>
      <c r="I35" s="404"/>
      <c r="J35" s="404"/>
      <c r="K35" s="404"/>
      <c r="L35" s="404"/>
      <c r="M35" s="405"/>
      <c r="N35" s="14"/>
      <c r="O35" s="119"/>
      <c r="P35" s="120"/>
      <c r="Q35" s="120"/>
      <c r="R35" s="470" t="s">
        <v>82</v>
      </c>
      <c r="S35" s="404"/>
      <c r="T35" s="404"/>
      <c r="U35" s="404"/>
      <c r="V35" s="404"/>
      <c r="W35" s="404"/>
      <c r="X35" s="405"/>
      <c r="Y35" s="14"/>
      <c r="Z35" s="471" t="str">
        <f>IF(Tarifs!$D$96=Tarifs!$B$102,"TOTAL Payable by the organization", "TOTAL Payable by the artist")</f>
        <v>TOTAL Payable by the artist</v>
      </c>
      <c r="AA35" s="301"/>
      <c r="AB35" s="297"/>
      <c r="AC35" s="297"/>
      <c r="AD35" s="299"/>
      <c r="AE35" s="299"/>
      <c r="AF35" s="299"/>
      <c r="AG35" s="299"/>
      <c r="AH35" s="299"/>
      <c r="AI35" s="299"/>
      <c r="AJ35" s="14"/>
      <c r="AK35" s="14"/>
      <c r="AL35" s="14"/>
      <c r="AM35" s="14"/>
    </row>
    <row r="36" spans="1:39" ht="24" x14ac:dyDescent="0.25">
      <c r="A36" s="121" t="s">
        <v>156</v>
      </c>
      <c r="B36" s="559"/>
      <c r="C36" s="473" t="s">
        <v>151</v>
      </c>
      <c r="D36" s="407"/>
      <c r="E36" s="408"/>
      <c r="F36" s="122"/>
      <c r="G36" s="122" t="s">
        <v>144</v>
      </c>
      <c r="H36" s="122"/>
      <c r="I36" s="122" t="s">
        <v>152</v>
      </c>
      <c r="J36" s="122"/>
      <c r="K36" s="122" t="str">
        <f>IFERROR(IF(OR($P$3=Tarifs!$A$94,$P$3=Tarifs!$A$95),"PRIM Support","PRIM Support "&amp;VLOOKUP($P$3,Tarifs!$A$94:$C$104,3,FALSE)*100&amp;"%"),"PRIM Support")</f>
        <v>PRIM Support</v>
      </c>
      <c r="L36" s="122"/>
      <c r="M36" s="123" t="s">
        <v>25</v>
      </c>
      <c r="N36" s="14"/>
      <c r="O36" s="121" t="s">
        <v>154</v>
      </c>
      <c r="P36" s="124" t="s">
        <v>151</v>
      </c>
      <c r="Q36" s="122"/>
      <c r="R36" s="122" t="s">
        <v>144</v>
      </c>
      <c r="S36" s="124"/>
      <c r="T36" s="122" t="s">
        <v>152</v>
      </c>
      <c r="U36" s="122"/>
      <c r="V36" s="122" t="s">
        <v>153</v>
      </c>
      <c r="W36" s="122"/>
      <c r="X36" s="123" t="s">
        <v>25</v>
      </c>
      <c r="Y36" s="38"/>
      <c r="Z36" s="472"/>
      <c r="AA36" s="301"/>
      <c r="AB36" s="297"/>
      <c r="AC36" s="297"/>
      <c r="AD36" s="298"/>
      <c r="AE36" s="299"/>
      <c r="AF36" s="298"/>
      <c r="AG36" s="297"/>
      <c r="AH36" s="298"/>
      <c r="AI36" s="299"/>
      <c r="AJ36" s="14"/>
      <c r="AK36" s="14"/>
      <c r="AL36" s="14"/>
      <c r="AM36" s="14"/>
    </row>
    <row r="37" spans="1:39" ht="14.25" customHeight="1" x14ac:dyDescent="0.25">
      <c r="A37" s="6"/>
      <c r="B37" s="349"/>
      <c r="C37" s="391"/>
      <c r="D37" s="392"/>
      <c r="E37" s="393"/>
      <c r="F37" s="44" t="s">
        <v>1</v>
      </c>
      <c r="G37" s="45">
        <f>IF(A37="",0,VLOOKUP(A37,Tarifs!A$3:E$21,2,FALSE))</f>
        <v>0</v>
      </c>
      <c r="H37" s="46" t="s">
        <v>26</v>
      </c>
      <c r="I37" s="125">
        <f t="shared" ref="I37:I44" si="19">C37*G37</f>
        <v>0</v>
      </c>
      <c r="J37" s="48" t="s">
        <v>27</v>
      </c>
      <c r="K37" s="47">
        <f t="shared" ref="K37:K44" si="20">AF37</f>
        <v>0</v>
      </c>
      <c r="L37" s="48" t="s">
        <v>26</v>
      </c>
      <c r="M37" s="49">
        <f t="shared" ref="M37:M44" si="21">I37-K37</f>
        <v>0</v>
      </c>
      <c r="N37" s="14"/>
      <c r="O37" s="331" t="str">
        <f>IF(B37=0,"",B37)</f>
        <v/>
      </c>
      <c r="P37" s="86" t="str">
        <f>IF(OR(B37=Tarifs!$A$35,B37=Tarifs!$A$36,B37=""),"", C37)</f>
        <v/>
      </c>
      <c r="Q37" s="87" t="s">
        <v>1</v>
      </c>
      <c r="R37" s="53">
        <f>IF(B37="",0,VLOOKUP(B37,Techs_son_Tarifs,2,FALSE))</f>
        <v>0</v>
      </c>
      <c r="S37" s="88" t="s">
        <v>26</v>
      </c>
      <c r="T37" s="52">
        <f t="shared" ref="T37:T44" si="22">IF(P37="",0,R37*P37)</f>
        <v>0</v>
      </c>
      <c r="U37" s="87" t="s">
        <v>27</v>
      </c>
      <c r="V37" s="52">
        <f>IF(OR(T37=0,$P$8=0),0,IF(Tarifs!D$96=8,IF(P$8&gt;T37,T37,P$8),0))</f>
        <v>0</v>
      </c>
      <c r="W37" s="52" t="s">
        <v>26</v>
      </c>
      <c r="X37" s="54">
        <f t="shared" ref="X37:X44" si="23">T37-V37</f>
        <v>0</v>
      </c>
      <c r="Y37" s="52"/>
      <c r="Z37" s="89">
        <f t="shared" ref="Z37:Z44" si="24">M37+X37</f>
        <v>0</v>
      </c>
      <c r="AA37" s="51" t="str">
        <f>IF(IFERROR(VLOOKUP(A37,Tarifs!A$3:C$19,3,FALSE),"")="x","Tech PRIM","")</f>
        <v/>
      </c>
      <c r="AB37" s="297">
        <f>IF(OR($P$3=Tarifs!$A$94,$P$3=Tarifs!$A$95,$P$3=Tarifs!$A$95,$P$3=Tarifs!$A$104),0,IF($B37="",0,IF(AND(AA37="Tech PRIM",$B37=Tarifs!$A$35),I37*$AB$11,I37*IFERROR(VLOOKUP(Tarifs!D$96,RABAIS,2,FALSE),0))))</f>
        <v>0</v>
      </c>
      <c r="AC37" s="297">
        <f>IF($P$3=Tarifs!$A$104,IF(AND(AA37="Tech PRIM",$B37=Tarifs!$A$35),0,IF(OR($P$7=0,I37&lt;=AD32),I37,AD32)),0)</f>
        <v>0</v>
      </c>
      <c r="AD37" s="298">
        <f>AD32-AC37</f>
        <v>0</v>
      </c>
      <c r="AE37" s="298">
        <f t="shared" ref="AE37:AE44" si="25">(X37-AC37)*$AE$11</f>
        <v>0</v>
      </c>
      <c r="AF37" s="298">
        <f>IF($P$3=Tarifs!$A$104,AC37+AE37,AB37)</f>
        <v>0</v>
      </c>
      <c r="AG37" s="297">
        <f>IF($P$3=Tarifs!$A$104,IF($P$8=0,0,IF(T37&lt;=AH32,T37,AH32)),0)</f>
        <v>0</v>
      </c>
      <c r="AH37" s="298">
        <f>AH32-AG37</f>
        <v>0</v>
      </c>
      <c r="AI37" s="298">
        <f t="shared" ref="AI37:AI44" si="26">AG37</f>
        <v>0</v>
      </c>
      <c r="AJ37" s="14"/>
      <c r="AK37" s="14"/>
      <c r="AL37" s="14"/>
      <c r="AM37" s="14"/>
    </row>
    <row r="38" spans="1:39" ht="14.25" customHeight="1" x14ac:dyDescent="0.25">
      <c r="A38" s="7"/>
      <c r="B38" s="350"/>
      <c r="C38" s="411"/>
      <c r="D38" s="392"/>
      <c r="E38" s="393"/>
      <c r="F38" s="57" t="s">
        <v>1</v>
      </c>
      <c r="G38" s="58">
        <f>IF(A38="",0,VLOOKUP(A38,Tarifs!A$3:E$21,2,FALSE))</f>
        <v>0</v>
      </c>
      <c r="H38" s="58" t="s">
        <v>26</v>
      </c>
      <c r="I38" s="126">
        <f t="shared" si="19"/>
        <v>0</v>
      </c>
      <c r="J38" s="60" t="s">
        <v>32</v>
      </c>
      <c r="K38" s="59">
        <f t="shared" si="20"/>
        <v>0</v>
      </c>
      <c r="L38" s="60" t="s">
        <v>26</v>
      </c>
      <c r="M38" s="61">
        <f t="shared" si="21"/>
        <v>0</v>
      </c>
      <c r="N38" s="14"/>
      <c r="O38" s="332" t="str">
        <f>IF(B38=0,"",B38)</f>
        <v/>
      </c>
      <c r="P38" s="127" t="str">
        <f>IF(OR(B38=Tarifs!$A$35,B38=Tarifs!$A$36,B38=""),"", C38)</f>
        <v/>
      </c>
      <c r="Q38" s="91" t="s">
        <v>1</v>
      </c>
      <c r="R38" s="92">
        <f>IF(B38="",0,VLOOKUP(B38,Techs_son_Tarifs,2,FALSE))</f>
        <v>0</v>
      </c>
      <c r="S38" s="91" t="s">
        <v>26</v>
      </c>
      <c r="T38" s="93">
        <f t="shared" si="22"/>
        <v>0</v>
      </c>
      <c r="U38" s="91" t="s">
        <v>27</v>
      </c>
      <c r="V38" s="93">
        <f>IF(OR(T38=0,$P$8=0),0,IF(Tarifs!D$96=8,IF(P$8&gt;T38,T38,P$8),0))</f>
        <v>0</v>
      </c>
      <c r="W38" s="93" t="s">
        <v>26</v>
      </c>
      <c r="X38" s="94">
        <f t="shared" si="23"/>
        <v>0</v>
      </c>
      <c r="Y38" s="52"/>
      <c r="Z38" s="95">
        <f t="shared" si="24"/>
        <v>0</v>
      </c>
      <c r="AA38" s="51" t="str">
        <f>IF(IFERROR(VLOOKUP(A38,Tarifs!A$3:C$19,3,FALSE),"")="x","Tech PRIM","")</f>
        <v/>
      </c>
      <c r="AB38" s="297">
        <f>IF(OR($P$3=Tarifs!$A$94,$P$3=Tarifs!$A$95,$P$3=Tarifs!$A$95,$P$3=Tarifs!$A$104),0,IF($B38="",0,IF(AND(AA38="Tech PRIM",$B38=Tarifs!$A$35),I38*$AB$11,I38*IFERROR(VLOOKUP(Tarifs!D$96,RABAIS,2,FALSE),0))))</f>
        <v>0</v>
      </c>
      <c r="AC38" s="297">
        <f>IF($P$3=Tarifs!$A$104,IF(AND(AA38="Tech PRIM",$B38=Tarifs!$A$35),0,IF(OR($P$7=0,I38&lt;=AD37),I38,AD37)),0)</f>
        <v>0</v>
      </c>
      <c r="AD38" s="298">
        <f t="shared" ref="AD38:AD44" si="27">AD37-AC38</f>
        <v>0</v>
      </c>
      <c r="AE38" s="298">
        <f t="shared" si="25"/>
        <v>0</v>
      </c>
      <c r="AF38" s="298">
        <f>IF($P$3=Tarifs!$A$104,AC38+AE38,AB38)</f>
        <v>0</v>
      </c>
      <c r="AG38" s="297">
        <f>IF($P$3=Tarifs!$A$104,IF($P$8=0,0,IF(T38&lt;=AH33,T38,AH33)),0)</f>
        <v>0</v>
      </c>
      <c r="AH38" s="298">
        <f t="shared" ref="AH38:AH44" si="28">AH37-AG38</f>
        <v>0</v>
      </c>
      <c r="AI38" s="298">
        <f t="shared" si="26"/>
        <v>0</v>
      </c>
      <c r="AJ38" s="14"/>
      <c r="AK38" s="14"/>
      <c r="AL38" s="14"/>
      <c r="AM38" s="14"/>
    </row>
    <row r="39" spans="1:39" ht="14.25" customHeight="1" x14ac:dyDescent="0.25">
      <c r="A39" s="6"/>
      <c r="B39" s="349"/>
      <c r="C39" s="391"/>
      <c r="D39" s="392"/>
      <c r="E39" s="393"/>
      <c r="F39" s="44" t="s">
        <v>1</v>
      </c>
      <c r="G39" s="45">
        <f>IF(A39="",0,VLOOKUP(A39,Tarifs!A$3:E$21,2,FALSE))</f>
        <v>0</v>
      </c>
      <c r="H39" s="45" t="s">
        <v>26</v>
      </c>
      <c r="I39" s="125">
        <f t="shared" si="19"/>
        <v>0</v>
      </c>
      <c r="J39" s="48" t="s">
        <v>32</v>
      </c>
      <c r="K39" s="47">
        <f t="shared" si="20"/>
        <v>0</v>
      </c>
      <c r="L39" s="48" t="s">
        <v>26</v>
      </c>
      <c r="M39" s="49">
        <f t="shared" si="21"/>
        <v>0</v>
      </c>
      <c r="N39" s="14"/>
      <c r="O39" s="331" t="str">
        <f t="shared" ref="O39:O44" si="29">IF(B39=0,"",B39)</f>
        <v/>
      </c>
      <c r="P39" s="86" t="str">
        <f>IF(OR(B39=Tarifs!$A$35,B39=Tarifs!$A$36,B39=""),"", C39)</f>
        <v/>
      </c>
      <c r="Q39" s="87" t="s">
        <v>1</v>
      </c>
      <c r="R39" s="53">
        <f t="shared" ref="R39:R44" si="30">IF(B39="",0,VLOOKUP(B39,Techs_son_Tarifs,2,FALSE))</f>
        <v>0</v>
      </c>
      <c r="S39" s="87" t="s">
        <v>26</v>
      </c>
      <c r="T39" s="52">
        <f t="shared" si="22"/>
        <v>0</v>
      </c>
      <c r="U39" s="87" t="s">
        <v>27</v>
      </c>
      <c r="V39" s="52">
        <f>IF(OR(T39=0,$P$8=0),0,IF(Tarifs!D$96=8,IF(P$8&gt;T39,T39,P$8),0))</f>
        <v>0</v>
      </c>
      <c r="W39" s="52" t="s">
        <v>26</v>
      </c>
      <c r="X39" s="54">
        <f t="shared" si="23"/>
        <v>0</v>
      </c>
      <c r="Y39" s="52"/>
      <c r="Z39" s="89">
        <f t="shared" si="24"/>
        <v>0</v>
      </c>
      <c r="AA39" s="51" t="str">
        <f>IF(IFERROR(VLOOKUP(A39,Tarifs!A$3:C$19,3,FALSE),"")="x","Tech PRIM","")</f>
        <v/>
      </c>
      <c r="AB39" s="297">
        <f>IF(OR($P$3=Tarifs!$A$94,$P$3=Tarifs!$A$95,$P$3=Tarifs!$A$95,$P$3=Tarifs!$A$104),0,IF($B39="",0,IF(AND(AA39="Tech PRIM",$B39=Tarifs!$A$35),I39*$AB$11,I39*IFERROR(VLOOKUP(Tarifs!D$96,RABAIS,2,FALSE),0))))</f>
        <v>0</v>
      </c>
      <c r="AC39" s="297">
        <f>IF($P$3=Tarifs!$A$104,IF(AND(AA39="Tech PRIM",$B39=Tarifs!$A$35),0,IF(OR($P$7=0,I39&lt;=AD38),I39,AD38)),0)</f>
        <v>0</v>
      </c>
      <c r="AD39" s="298">
        <f t="shared" si="27"/>
        <v>0</v>
      </c>
      <c r="AE39" s="298">
        <f t="shared" si="25"/>
        <v>0</v>
      </c>
      <c r="AF39" s="298">
        <f>IF($P$3=Tarifs!$A$104,AC39+AE39,AB39)</f>
        <v>0</v>
      </c>
      <c r="AG39" s="297">
        <f>IF($P$3=Tarifs!$A$104,IF($P$8=0,0,IF(T39&lt;=AH34,T39,AH34)),0)</f>
        <v>0</v>
      </c>
      <c r="AH39" s="298">
        <f t="shared" si="28"/>
        <v>0</v>
      </c>
      <c r="AI39" s="298">
        <f t="shared" si="26"/>
        <v>0</v>
      </c>
      <c r="AJ39" s="14"/>
      <c r="AK39" s="14"/>
      <c r="AL39" s="14"/>
      <c r="AM39" s="14"/>
    </row>
    <row r="40" spans="1:39" ht="14.25" customHeight="1" x14ac:dyDescent="0.25">
      <c r="A40" s="7"/>
      <c r="B40" s="350"/>
      <c r="C40" s="411"/>
      <c r="D40" s="392"/>
      <c r="E40" s="393"/>
      <c r="F40" s="57" t="s">
        <v>1</v>
      </c>
      <c r="G40" s="58">
        <f>IF(A40="",0,VLOOKUP(A40,Tarifs!A$3:E$21,2,FALSE))</f>
        <v>0</v>
      </c>
      <c r="H40" s="58" t="s">
        <v>26</v>
      </c>
      <c r="I40" s="126">
        <f t="shared" si="19"/>
        <v>0</v>
      </c>
      <c r="J40" s="60" t="s">
        <v>32</v>
      </c>
      <c r="K40" s="59">
        <f t="shared" si="20"/>
        <v>0</v>
      </c>
      <c r="L40" s="60" t="s">
        <v>26</v>
      </c>
      <c r="M40" s="61">
        <f t="shared" si="21"/>
        <v>0</v>
      </c>
      <c r="N40" s="14"/>
      <c r="O40" s="332" t="str">
        <f t="shared" si="29"/>
        <v/>
      </c>
      <c r="P40" s="127" t="str">
        <f>IF(OR(B40=Tarifs!$A$35,B40=Tarifs!$A$36,B40=""),"", C40)</f>
        <v/>
      </c>
      <c r="Q40" s="91" t="s">
        <v>1</v>
      </c>
      <c r="R40" s="92">
        <f t="shared" si="30"/>
        <v>0</v>
      </c>
      <c r="S40" s="91" t="s">
        <v>26</v>
      </c>
      <c r="T40" s="93">
        <f t="shared" si="22"/>
        <v>0</v>
      </c>
      <c r="U40" s="91" t="s">
        <v>27</v>
      </c>
      <c r="V40" s="93">
        <f>IF(OR(T40=0,$P$8=0),0,IF(Tarifs!D$96=8,IF(P$8&gt;T40,T40,P$8),0))</f>
        <v>0</v>
      </c>
      <c r="W40" s="93" t="s">
        <v>26</v>
      </c>
      <c r="X40" s="94">
        <f t="shared" si="23"/>
        <v>0</v>
      </c>
      <c r="Y40" s="52"/>
      <c r="Z40" s="95">
        <f t="shared" si="24"/>
        <v>0</v>
      </c>
      <c r="AA40" s="51" t="str">
        <f>IF(IFERROR(VLOOKUP(A40,Tarifs!A$3:C$19,3,FALSE),"")="x","Tech PRIM","")</f>
        <v/>
      </c>
      <c r="AB40" s="297">
        <f>IF(OR($P$3=Tarifs!$A$94,$P$3=Tarifs!$A$95,$P$3=Tarifs!$A$95,$P$3=Tarifs!$A$104),0,IF($B40="",0,IF(AND(AA40="Tech PRIM",$B40=Tarifs!$A$35),I40*$AB$11,I40*IFERROR(VLOOKUP(Tarifs!D$96,RABAIS,2,FALSE),0))))</f>
        <v>0</v>
      </c>
      <c r="AC40" s="297">
        <f>IF($P$3=Tarifs!$A$104,IF(AND(AA40="Tech PRIM",$B40=Tarifs!$A$35),0,IF(OR($P$7=0,I40&lt;=AD39),I40,AD39)),0)</f>
        <v>0</v>
      </c>
      <c r="AD40" s="298">
        <f t="shared" si="27"/>
        <v>0</v>
      </c>
      <c r="AE40" s="298">
        <f t="shared" si="25"/>
        <v>0</v>
      </c>
      <c r="AF40" s="298">
        <f>IF($P$3=Tarifs!$A$104,AC40+AE40,AB40)</f>
        <v>0</v>
      </c>
      <c r="AG40" s="297">
        <f>IF($P$3=Tarifs!$A$104,IF($P$8=0,0,IF(T40&lt;=AH35,T40,AH35)),0)</f>
        <v>0</v>
      </c>
      <c r="AH40" s="298">
        <f t="shared" si="28"/>
        <v>0</v>
      </c>
      <c r="AI40" s="298">
        <f t="shared" si="26"/>
        <v>0</v>
      </c>
      <c r="AJ40" s="14"/>
      <c r="AK40" s="14"/>
      <c r="AL40" s="14"/>
      <c r="AM40" s="14"/>
    </row>
    <row r="41" spans="1:39" ht="14.25" customHeight="1" x14ac:dyDescent="0.25">
      <c r="A41" s="6"/>
      <c r="B41" s="349"/>
      <c r="C41" s="391"/>
      <c r="D41" s="392"/>
      <c r="E41" s="393"/>
      <c r="F41" s="44" t="s">
        <v>1</v>
      </c>
      <c r="G41" s="45">
        <f>IF(A41="",0,VLOOKUP(A41,Tarifs!A$3:E$21,2,FALSE))</f>
        <v>0</v>
      </c>
      <c r="H41" s="45" t="s">
        <v>26</v>
      </c>
      <c r="I41" s="125">
        <f t="shared" si="19"/>
        <v>0</v>
      </c>
      <c r="J41" s="48" t="s">
        <v>32</v>
      </c>
      <c r="K41" s="47">
        <f t="shared" si="20"/>
        <v>0</v>
      </c>
      <c r="L41" s="48" t="s">
        <v>26</v>
      </c>
      <c r="M41" s="49">
        <f t="shared" si="21"/>
        <v>0</v>
      </c>
      <c r="N41" s="14"/>
      <c r="O41" s="331" t="str">
        <f t="shared" si="29"/>
        <v/>
      </c>
      <c r="P41" s="86" t="str">
        <f>IF(OR(B41=Tarifs!$A$35,B41=Tarifs!$A$36,B41=""),"", C41)</f>
        <v/>
      </c>
      <c r="Q41" s="87" t="s">
        <v>1</v>
      </c>
      <c r="R41" s="53">
        <f t="shared" si="30"/>
        <v>0</v>
      </c>
      <c r="S41" s="87" t="s">
        <v>26</v>
      </c>
      <c r="T41" s="52">
        <f t="shared" si="22"/>
        <v>0</v>
      </c>
      <c r="U41" s="87" t="s">
        <v>27</v>
      </c>
      <c r="V41" s="52">
        <f>IF(OR(T41=0,$P$8=0),0,IF(Tarifs!D$96=8,IF(P$8&gt;T41,T41,P$8),0))</f>
        <v>0</v>
      </c>
      <c r="W41" s="52" t="s">
        <v>26</v>
      </c>
      <c r="X41" s="54">
        <f t="shared" si="23"/>
        <v>0</v>
      </c>
      <c r="Y41" s="52"/>
      <c r="Z41" s="89">
        <f t="shared" si="24"/>
        <v>0</v>
      </c>
      <c r="AA41" s="51" t="str">
        <f>IF(IFERROR(VLOOKUP(A41,Tarifs!A$3:C$19,3,FALSE),"")="x","Tech PRIM","")</f>
        <v/>
      </c>
      <c r="AB41" s="297">
        <f>IF(OR($P$3=Tarifs!$A$94,$P$3=Tarifs!$A$95,$P$3=Tarifs!$A$95,$P$3=Tarifs!$A$104),0,IF($B41="",0,IF(AND(AA41="Tech PRIM",$B41=Tarifs!$A$35),I41*$AB$11,I41*IFERROR(VLOOKUP(Tarifs!D$96,RABAIS,2,FALSE),0))))</f>
        <v>0</v>
      </c>
      <c r="AC41" s="297">
        <f>IF($P$3=Tarifs!$A$104,IF(AND(AA41="Tech PRIM",$B41=Tarifs!$A$35),0,IF(OR($P$7=0,I41&lt;=AD40),I41,AD40)),0)</f>
        <v>0</v>
      </c>
      <c r="AD41" s="298">
        <f t="shared" si="27"/>
        <v>0</v>
      </c>
      <c r="AE41" s="298">
        <f t="shared" si="25"/>
        <v>0</v>
      </c>
      <c r="AF41" s="298">
        <f>IF($P$3=Tarifs!$A$104,AC41+AE41,AB41)</f>
        <v>0</v>
      </c>
      <c r="AG41" s="297">
        <f>IF($P$3=Tarifs!$A$104,IF($P$8=0,0,IF(T41&lt;=AH36,T41,AH36)),0)</f>
        <v>0</v>
      </c>
      <c r="AH41" s="298">
        <f t="shared" si="28"/>
        <v>0</v>
      </c>
      <c r="AI41" s="298">
        <f t="shared" si="26"/>
        <v>0</v>
      </c>
      <c r="AJ41" s="14"/>
      <c r="AK41" s="14"/>
      <c r="AL41" s="14"/>
      <c r="AM41" s="14"/>
    </row>
    <row r="42" spans="1:39" ht="14.25" customHeight="1" x14ac:dyDescent="0.25">
      <c r="A42" s="7"/>
      <c r="B42" s="350"/>
      <c r="C42" s="411"/>
      <c r="D42" s="392"/>
      <c r="E42" s="393"/>
      <c r="F42" s="57" t="s">
        <v>1</v>
      </c>
      <c r="G42" s="58">
        <f>IF(A42="",0,VLOOKUP(A42,Tarifs!A$3:E$21,2,FALSE))</f>
        <v>0</v>
      </c>
      <c r="H42" s="58" t="s">
        <v>26</v>
      </c>
      <c r="I42" s="126">
        <f t="shared" si="19"/>
        <v>0</v>
      </c>
      <c r="J42" s="60" t="s">
        <v>32</v>
      </c>
      <c r="K42" s="59">
        <f t="shared" si="20"/>
        <v>0</v>
      </c>
      <c r="L42" s="60" t="s">
        <v>26</v>
      </c>
      <c r="M42" s="61">
        <f t="shared" si="21"/>
        <v>0</v>
      </c>
      <c r="N42" s="14"/>
      <c r="O42" s="332" t="str">
        <f t="shared" si="29"/>
        <v/>
      </c>
      <c r="P42" s="127" t="str">
        <f>IF(OR(B42=Tarifs!$A$35,B42=Tarifs!$A$36,B42=""),"", C42)</f>
        <v/>
      </c>
      <c r="Q42" s="91" t="s">
        <v>1</v>
      </c>
      <c r="R42" s="92">
        <f t="shared" si="30"/>
        <v>0</v>
      </c>
      <c r="S42" s="91" t="s">
        <v>26</v>
      </c>
      <c r="T42" s="93">
        <f t="shared" si="22"/>
        <v>0</v>
      </c>
      <c r="U42" s="91" t="s">
        <v>27</v>
      </c>
      <c r="V42" s="93">
        <f>IF(OR(T42=0,$P$8=0),0,IF(Tarifs!D$96=8,IF(P$8&gt;T42,T42,P$8),0))</f>
        <v>0</v>
      </c>
      <c r="W42" s="93" t="s">
        <v>26</v>
      </c>
      <c r="X42" s="94">
        <f t="shared" si="23"/>
        <v>0</v>
      </c>
      <c r="Y42" s="52"/>
      <c r="Z42" s="95">
        <f t="shared" si="24"/>
        <v>0</v>
      </c>
      <c r="AA42" s="51" t="str">
        <f>IF(IFERROR(VLOOKUP(A42,Tarifs!A$3:C$19,3,FALSE),"")="x","Tech PRIM","")</f>
        <v/>
      </c>
      <c r="AB42" s="297">
        <f>IF(OR($P$3=Tarifs!$A$94,$P$3=Tarifs!$A$95,$P$3=Tarifs!$A$95,$P$3=Tarifs!$A$104),0,IF($B42="",0,IF(AND(AA42="Tech PRIM",$B42=Tarifs!$A$35),I42*$AB$11,I42*IFERROR(VLOOKUP(Tarifs!D$96,RABAIS,2,FALSE),0))))</f>
        <v>0</v>
      </c>
      <c r="AC42" s="297">
        <f>IF($P$3=Tarifs!$A$104,IF(AND(AA42="Tech PRIM",$B42=Tarifs!$A$35),0,IF(OR($P$7=0,I42&lt;=AD41),I42,AD41)),0)</f>
        <v>0</v>
      </c>
      <c r="AD42" s="298">
        <f t="shared" si="27"/>
        <v>0</v>
      </c>
      <c r="AE42" s="298">
        <f t="shared" si="25"/>
        <v>0</v>
      </c>
      <c r="AF42" s="298">
        <f>IF($P$3=Tarifs!$A$104,AC42+AE42,AB42)</f>
        <v>0</v>
      </c>
      <c r="AG42" s="297">
        <f>IF($P$3=Tarifs!$A$104,IF($P$8=0,0,IF(T42&lt;=AH37,T42,AH37)),0)</f>
        <v>0</v>
      </c>
      <c r="AH42" s="298">
        <f t="shared" si="28"/>
        <v>0</v>
      </c>
      <c r="AI42" s="298">
        <f t="shared" si="26"/>
        <v>0</v>
      </c>
      <c r="AJ42" s="14"/>
      <c r="AK42" s="14"/>
      <c r="AL42" s="14"/>
      <c r="AM42" s="14"/>
    </row>
    <row r="43" spans="1:39" ht="14.25" customHeight="1" x14ac:dyDescent="0.25">
      <c r="A43" s="6"/>
      <c r="B43" s="349"/>
      <c r="C43" s="391"/>
      <c r="D43" s="392"/>
      <c r="E43" s="393"/>
      <c r="F43" s="44" t="s">
        <v>1</v>
      </c>
      <c r="G43" s="45">
        <f>IF(A43="",0,VLOOKUP(A43,Tarifs!A$3:E$21,2,FALSE))</f>
        <v>0</v>
      </c>
      <c r="H43" s="45" t="s">
        <v>26</v>
      </c>
      <c r="I43" s="125">
        <f t="shared" si="19"/>
        <v>0</v>
      </c>
      <c r="J43" s="48" t="s">
        <v>32</v>
      </c>
      <c r="K43" s="47">
        <f t="shared" si="20"/>
        <v>0</v>
      </c>
      <c r="L43" s="48" t="s">
        <v>26</v>
      </c>
      <c r="M43" s="49">
        <f t="shared" si="21"/>
        <v>0</v>
      </c>
      <c r="N43" s="14"/>
      <c r="O43" s="331" t="str">
        <f t="shared" si="29"/>
        <v/>
      </c>
      <c r="P43" s="86" t="str">
        <f>IF(OR(B43=Tarifs!$A$35,B43=Tarifs!$A$36,B43=""),"", C43)</f>
        <v/>
      </c>
      <c r="Q43" s="87" t="s">
        <v>1</v>
      </c>
      <c r="R43" s="53">
        <f t="shared" si="30"/>
        <v>0</v>
      </c>
      <c r="S43" s="87" t="s">
        <v>26</v>
      </c>
      <c r="T43" s="52">
        <f t="shared" si="22"/>
        <v>0</v>
      </c>
      <c r="U43" s="87" t="s">
        <v>27</v>
      </c>
      <c r="V43" s="52">
        <f>IF(OR(T43=0,$P$8=0),0,IF(Tarifs!D$96=8,IF(P$8&gt;T43,T43,P$8),0))</f>
        <v>0</v>
      </c>
      <c r="W43" s="52" t="s">
        <v>26</v>
      </c>
      <c r="X43" s="54">
        <f t="shared" si="23"/>
        <v>0</v>
      </c>
      <c r="Y43" s="52"/>
      <c r="Z43" s="89">
        <f t="shared" si="24"/>
        <v>0</v>
      </c>
      <c r="AA43" s="51" t="str">
        <f>IF(IFERROR(VLOOKUP(A43,Tarifs!A$3:C$19,3,FALSE),"")="x","Tech PRIM","")</f>
        <v/>
      </c>
      <c r="AB43" s="297">
        <f>IF(OR($P$3=Tarifs!$A$94,$P$3=Tarifs!$A$95,$P$3=Tarifs!$A$95,$P$3=Tarifs!$A$104),0,IF($B43="",0,IF(AND(AA43="Tech PRIM",$B43=Tarifs!$A$35),I43*$AB$11,I43*IFERROR(VLOOKUP(Tarifs!D$96,RABAIS,2,FALSE),0))))</f>
        <v>0</v>
      </c>
      <c r="AC43" s="297">
        <f>IF($P$3=Tarifs!$A$104,IF(AND(AA43="Tech PRIM",$B43=Tarifs!$A$35),0,IF(OR($P$7=0,I43&lt;=AD42),I43,AD42)),0)</f>
        <v>0</v>
      </c>
      <c r="AD43" s="298">
        <f t="shared" si="27"/>
        <v>0</v>
      </c>
      <c r="AE43" s="298">
        <f t="shared" si="25"/>
        <v>0</v>
      </c>
      <c r="AF43" s="298">
        <f>IF($P$3=Tarifs!$A$104,AC43+AE43,AB43)</f>
        <v>0</v>
      </c>
      <c r="AG43" s="297">
        <f>IF($P$3=Tarifs!$A$104,IF($P$8=0,0,IF(T43&lt;=AH38,T43,AH38)),0)</f>
        <v>0</v>
      </c>
      <c r="AH43" s="298">
        <f t="shared" si="28"/>
        <v>0</v>
      </c>
      <c r="AI43" s="298">
        <f t="shared" si="26"/>
        <v>0</v>
      </c>
      <c r="AJ43" s="14"/>
      <c r="AK43" s="14"/>
      <c r="AL43" s="14"/>
      <c r="AM43" s="14"/>
    </row>
    <row r="44" spans="1:39" ht="14.25" customHeight="1" thickBot="1" x14ac:dyDescent="0.3">
      <c r="A44" s="8"/>
      <c r="B44" s="351"/>
      <c r="C44" s="485"/>
      <c r="D44" s="416"/>
      <c r="E44" s="486"/>
      <c r="F44" s="128" t="s">
        <v>1</v>
      </c>
      <c r="G44" s="129">
        <f>IF(A44="",0,VLOOKUP(A44,Tarifs!A$3:E$21,2,FALSE))</f>
        <v>0</v>
      </c>
      <c r="H44" s="129" t="s">
        <v>26</v>
      </c>
      <c r="I44" s="130">
        <f t="shared" si="19"/>
        <v>0</v>
      </c>
      <c r="J44" s="131" t="s">
        <v>32</v>
      </c>
      <c r="K44" s="132">
        <f t="shared" si="20"/>
        <v>0</v>
      </c>
      <c r="L44" s="131" t="s">
        <v>26</v>
      </c>
      <c r="M44" s="133">
        <f t="shared" si="21"/>
        <v>0</v>
      </c>
      <c r="N44" s="14"/>
      <c r="O44" s="333" t="str">
        <f t="shared" si="29"/>
        <v/>
      </c>
      <c r="P44" s="134" t="str">
        <f>IF(OR(B44=Tarifs!$A$35,B44=Tarifs!$A$36,B44=""),"", C44)</f>
        <v/>
      </c>
      <c r="Q44" s="135" t="s">
        <v>1</v>
      </c>
      <c r="R44" s="136">
        <f t="shared" si="30"/>
        <v>0</v>
      </c>
      <c r="S44" s="135" t="s">
        <v>26</v>
      </c>
      <c r="T44" s="137">
        <f t="shared" si="22"/>
        <v>0</v>
      </c>
      <c r="U44" s="135" t="s">
        <v>27</v>
      </c>
      <c r="V44" s="137">
        <f>IF(OR(T44=0,$P$8=0),0,IF(Tarifs!D$96=8,IF(P$8&gt;T44,T44,P$8),0))</f>
        <v>0</v>
      </c>
      <c r="W44" s="137" t="s">
        <v>26</v>
      </c>
      <c r="X44" s="138">
        <f t="shared" si="23"/>
        <v>0</v>
      </c>
      <c r="Y44" s="52"/>
      <c r="Z44" s="139">
        <f t="shared" si="24"/>
        <v>0</v>
      </c>
      <c r="AA44" s="51" t="str">
        <f>IF(IFERROR(VLOOKUP(A44,Tarifs!A$3:C$19,3,FALSE),"")="x","Tech PRIM","")</f>
        <v/>
      </c>
      <c r="AB44" s="297">
        <f>IF(OR($P$3=Tarifs!$A$94,$P$3=Tarifs!$A$95,$P$3=Tarifs!$A$95,$P$3=Tarifs!$A$104),0,IF($B44="",0,IF(AND(AA44="Tech PRIM",$B44=Tarifs!$A$35),I44*$AB$11,I44*IFERROR(VLOOKUP(Tarifs!D$96,RABAIS,2,FALSE),0))))</f>
        <v>0</v>
      </c>
      <c r="AC44" s="297">
        <f>IF($P$3=Tarifs!$A$104,IF(AND(AA44="Tech PRIM",$B44=Tarifs!$A$35),0,IF(OR($P$7=0,I44&lt;=AD43),I44,AD43)),0)</f>
        <v>0</v>
      </c>
      <c r="AD44" s="298">
        <f t="shared" si="27"/>
        <v>0</v>
      </c>
      <c r="AE44" s="298">
        <f t="shared" si="25"/>
        <v>0</v>
      </c>
      <c r="AF44" s="298">
        <f>IF($P$3=Tarifs!$A$104,AC44+AE44,AB44)</f>
        <v>0</v>
      </c>
      <c r="AG44" s="297">
        <f>IF($P$3=Tarifs!$A$104,IF($P$8=0,0,IF(T44&lt;=AH39,T44,AH39)),0)</f>
        <v>0</v>
      </c>
      <c r="AH44" s="298">
        <f t="shared" si="28"/>
        <v>0</v>
      </c>
      <c r="AI44" s="298">
        <f t="shared" si="26"/>
        <v>0</v>
      </c>
      <c r="AJ44" s="14"/>
      <c r="AK44" s="14"/>
      <c r="AL44" s="14"/>
      <c r="AM44" s="14"/>
    </row>
    <row r="45" spans="1:39" ht="18.75" customHeight="1" thickTop="1" thickBot="1" x14ac:dyDescent="0.35">
      <c r="A45" s="487" t="s">
        <v>164</v>
      </c>
      <c r="B45" s="488"/>
      <c r="C45" s="401"/>
      <c r="D45" s="401"/>
      <c r="E45" s="401"/>
      <c r="F45" s="401"/>
      <c r="G45" s="402"/>
      <c r="H45" s="140"/>
      <c r="I45" s="141">
        <f>SUM(I37:I44)</f>
        <v>0</v>
      </c>
      <c r="J45" s="142" t="s">
        <v>27</v>
      </c>
      <c r="K45" s="143">
        <f>SUM(K37:K44)</f>
        <v>0</v>
      </c>
      <c r="L45" s="144" t="s">
        <v>26</v>
      </c>
      <c r="M45" s="145">
        <f>SUM(M37:M44)</f>
        <v>0</v>
      </c>
      <c r="N45" s="14"/>
      <c r="O45" s="146"/>
      <c r="P45" s="147"/>
      <c r="Q45" s="147"/>
      <c r="R45" s="147"/>
      <c r="S45" s="147"/>
      <c r="T45" s="140">
        <f>SUM(T37:T44)</f>
        <v>0</v>
      </c>
      <c r="U45" s="148" t="s">
        <v>27</v>
      </c>
      <c r="V45" s="143">
        <f>SUM(V37:V44)</f>
        <v>0</v>
      </c>
      <c r="W45" s="144" t="s">
        <v>26</v>
      </c>
      <c r="X45" s="149">
        <f>SUM(X37:X44)</f>
        <v>0</v>
      </c>
      <c r="Y45" s="113"/>
      <c r="Z45" s="150">
        <f>SUM(Z37:Z44)</f>
        <v>0</v>
      </c>
      <c r="AA45" s="51"/>
      <c r="AB45" s="116"/>
      <c r="AC45" s="116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 ht="6" customHeight="1" thickBot="1" x14ac:dyDescent="0.3">
      <c r="A46" s="115"/>
      <c r="B46" s="1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16"/>
      <c r="Y46" s="113"/>
      <c r="Z46" s="14"/>
      <c r="AA46" s="287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</row>
    <row r="47" spans="1:39" ht="25.5" customHeight="1" x14ac:dyDescent="0.25">
      <c r="A47" s="151" t="s">
        <v>163</v>
      </c>
      <c r="B47" s="307"/>
      <c r="C47" s="152"/>
      <c r="D47" s="152"/>
      <c r="E47" s="152"/>
      <c r="F47" s="152"/>
      <c r="G47" s="489" t="s">
        <v>29</v>
      </c>
      <c r="H47" s="404"/>
      <c r="I47" s="404"/>
      <c r="J47" s="404"/>
      <c r="K47" s="404"/>
      <c r="L47" s="404"/>
      <c r="M47" s="405"/>
      <c r="N47" s="14"/>
      <c r="O47" s="153"/>
      <c r="P47" s="152"/>
      <c r="Q47" s="152"/>
      <c r="R47" s="490" t="s">
        <v>82</v>
      </c>
      <c r="S47" s="404"/>
      <c r="T47" s="404"/>
      <c r="U47" s="404"/>
      <c r="V47" s="404"/>
      <c r="W47" s="404"/>
      <c r="X47" s="405"/>
      <c r="Y47" s="113"/>
      <c r="Z47" s="491" t="str">
        <f>IF(Tarifs!$D$96=Tarifs!$B$102,"TOTAL Payable by the organization", "TOTAL Payable by the artist")</f>
        <v>TOTAL Payable by the artist</v>
      </c>
      <c r="AA47" s="301"/>
      <c r="AB47" s="297"/>
      <c r="AC47" s="297"/>
      <c r="AD47" s="299"/>
      <c r="AE47" s="299"/>
      <c r="AF47" s="299"/>
      <c r="AG47" s="299"/>
      <c r="AH47" s="299"/>
      <c r="AI47" s="299"/>
      <c r="AJ47" s="14"/>
      <c r="AK47" s="14"/>
      <c r="AL47" s="14"/>
      <c r="AM47" s="14"/>
    </row>
    <row r="48" spans="1:39" ht="24" x14ac:dyDescent="0.25">
      <c r="A48" s="154" t="s">
        <v>158</v>
      </c>
      <c r="B48" s="308"/>
      <c r="C48" s="492" t="s">
        <v>30</v>
      </c>
      <c r="D48" s="407"/>
      <c r="E48" s="408"/>
      <c r="F48" s="155"/>
      <c r="G48" s="155" t="s">
        <v>144</v>
      </c>
      <c r="H48" s="155"/>
      <c r="I48" s="155" t="s">
        <v>152</v>
      </c>
      <c r="J48" s="155"/>
      <c r="K48" s="155" t="str">
        <f>IFERROR(IF(OR($P$3=Tarifs!$A$94,$P$3=Tarifs!$A$95),"PRIM Support","PRIM Support "&amp;VLOOKUP($P$3,Tarifs!$A$94:$C$104,3,FALSE)*100&amp;"%"),"PRIM Support")</f>
        <v>PRIM Support</v>
      </c>
      <c r="L48" s="155"/>
      <c r="M48" s="156" t="s">
        <v>25</v>
      </c>
      <c r="N48" s="14"/>
      <c r="O48" s="157" t="s">
        <v>154</v>
      </c>
      <c r="P48" s="158" t="s">
        <v>151</v>
      </c>
      <c r="Q48" s="155"/>
      <c r="R48" s="155" t="s">
        <v>144</v>
      </c>
      <c r="S48" s="158"/>
      <c r="T48" s="155" t="s">
        <v>152</v>
      </c>
      <c r="U48" s="155"/>
      <c r="V48" s="155" t="s">
        <v>153</v>
      </c>
      <c r="W48" s="155"/>
      <c r="X48" s="156" t="s">
        <v>25</v>
      </c>
      <c r="Y48" s="113"/>
      <c r="Z48" s="472"/>
      <c r="AA48" s="301"/>
      <c r="AB48" s="297"/>
      <c r="AC48" s="297"/>
      <c r="AD48" s="298"/>
      <c r="AE48" s="299"/>
      <c r="AF48" s="298"/>
      <c r="AG48" s="297"/>
      <c r="AH48" s="298"/>
      <c r="AI48" s="299"/>
      <c r="AJ48" s="14"/>
      <c r="AK48" s="14"/>
      <c r="AL48" s="14"/>
      <c r="AM48" s="14"/>
    </row>
    <row r="49" spans="1:39" ht="14.25" customHeight="1" x14ac:dyDescent="0.25">
      <c r="A49" s="159" t="s">
        <v>158</v>
      </c>
      <c r="B49" s="309"/>
      <c r="C49" s="420"/>
      <c r="D49" s="392"/>
      <c r="E49" s="393"/>
      <c r="F49" s="51" t="s">
        <v>1</v>
      </c>
      <c r="G49" s="45">
        <f>VLOOKUP(A49,Tarifs!A$3:E$21,2,FALSE)</f>
        <v>50</v>
      </c>
      <c r="H49" s="46" t="s">
        <v>26</v>
      </c>
      <c r="I49" s="47">
        <f>C49*G49</f>
        <v>0</v>
      </c>
      <c r="J49" s="48" t="s">
        <v>27</v>
      </c>
      <c r="K49" s="47">
        <f>AF49</f>
        <v>0</v>
      </c>
      <c r="L49" s="48" t="s">
        <v>26</v>
      </c>
      <c r="M49" s="49">
        <f>I49-K49</f>
        <v>0</v>
      </c>
      <c r="N49" s="14"/>
      <c r="O49" s="160" t="str">
        <f>Techs_TR</f>
        <v>Video Technician (Exports)</v>
      </c>
      <c r="P49" s="367">
        <f>IF(C49&lt;=1,C49,C49/2)</f>
        <v>0</v>
      </c>
      <c r="Q49" s="161" t="s">
        <v>1</v>
      </c>
      <c r="R49" s="162">
        <f>Tarifs!B45</f>
        <v>30</v>
      </c>
      <c r="S49" s="163" t="s">
        <v>26</v>
      </c>
      <c r="T49" s="164">
        <f>IF(P49="",0,R49*P49)</f>
        <v>0</v>
      </c>
      <c r="U49" s="161" t="s">
        <v>27</v>
      </c>
      <c r="V49" s="164">
        <f>IF(OR(T49=0,$P$8=0),0,IF(Tarifs!D$96=8,IF(P$8&gt;T49,T49,P$8),0))</f>
        <v>0</v>
      </c>
      <c r="W49" s="164" t="s">
        <v>26</v>
      </c>
      <c r="X49" s="165">
        <f>T49-V49</f>
        <v>0</v>
      </c>
      <c r="Y49" s="113"/>
      <c r="Z49" s="89">
        <f>M49+X49</f>
        <v>0</v>
      </c>
      <c r="AA49" s="52"/>
      <c r="AB49" s="297">
        <f>IF(OR($P$3=Tarifs!$A$94,$P$3=Tarifs!$A$95,$P$3=Tarifs!$A$95,$P$3=Tarifs!$A$104),0,IF($O49="",0,IF($O49=Tarifs!$A$35,I49*$AB$11,I49*IFERROR(VLOOKUP(Tarifs!D$96,RABAIS,2,FALSE),0))))</f>
        <v>0</v>
      </c>
      <c r="AC49" s="297">
        <f>IF($P$3=Tarifs!$A$104,IF($O49=Tarifs!$A$35,0,IF(OR($P$7=0,I49&lt;=AD44),I49,AD44)),0)</f>
        <v>0</v>
      </c>
      <c r="AD49" s="298">
        <f>AD44-AC49</f>
        <v>0</v>
      </c>
      <c r="AE49" s="298">
        <f t="shared" ref="AE49:AE56" si="31">(X49-AC49)*$AE$11</f>
        <v>0</v>
      </c>
      <c r="AF49" s="298">
        <f>IF($P$3=Tarifs!$A$104,AC49+AE49,AB49)</f>
        <v>0</v>
      </c>
      <c r="AG49" s="297">
        <f>IF($P$3=Tarifs!$A$104,IF($P$8=0,2,IF(T49&lt;=AH44,T49,AH44)),0)</f>
        <v>0</v>
      </c>
      <c r="AH49" s="298">
        <f>AH44-AG49</f>
        <v>0</v>
      </c>
      <c r="AI49" s="298">
        <f t="shared" ref="AI49:AI56" si="32">AG49</f>
        <v>0</v>
      </c>
      <c r="AJ49" s="14"/>
      <c r="AK49" s="14"/>
      <c r="AL49" s="14"/>
      <c r="AM49" s="14"/>
    </row>
    <row r="50" spans="1:39" ht="15" customHeight="1" x14ac:dyDescent="0.25">
      <c r="A50" s="154" t="s">
        <v>4</v>
      </c>
      <c r="B50" s="308"/>
      <c r="C50" s="155" t="s">
        <v>23</v>
      </c>
      <c r="D50" s="166"/>
      <c r="E50" s="155" t="s">
        <v>24</v>
      </c>
      <c r="F50" s="155"/>
      <c r="G50" s="155" t="s">
        <v>10</v>
      </c>
      <c r="H50" s="155"/>
      <c r="I50" s="155"/>
      <c r="J50" s="155"/>
      <c r="K50" s="155"/>
      <c r="L50" s="155"/>
      <c r="M50" s="156"/>
      <c r="N50" s="14"/>
      <c r="O50" s="167"/>
      <c r="P50" s="155"/>
      <c r="Q50" s="155"/>
      <c r="R50" s="155"/>
      <c r="S50" s="155"/>
      <c r="T50" s="155"/>
      <c r="U50" s="155"/>
      <c r="V50" s="168"/>
      <c r="W50" s="155"/>
      <c r="X50" s="169"/>
      <c r="Y50" s="113"/>
      <c r="Z50" s="170"/>
      <c r="AA50" s="52"/>
      <c r="AB50" s="297">
        <f>IF(OR($P$3=Tarifs!$A$94,$P$3=Tarifs!$A$95,$P$3=Tarifs!$A$95,$P$3=Tarifs!$A$104),0,IF($O50="",0,IF($O50=Tarifs!$A$35,I50*$AB$11,I50*IFERROR(VLOOKUP(Tarifs!D$96,RABAIS,2,FALSE),0))))</f>
        <v>0</v>
      </c>
      <c r="AC50" s="297">
        <f>IF($P$3=Tarifs!$A$104,IF($O50=Tarifs!$A$35,0,IF(OR($P$7=0,I50&lt;=AD49),I50,AD49)),0)</f>
        <v>0</v>
      </c>
      <c r="AD50" s="298">
        <f t="shared" ref="AD50:AD56" si="33">AD49-AC50</f>
        <v>0</v>
      </c>
      <c r="AE50" s="298">
        <f t="shared" si="31"/>
        <v>0</v>
      </c>
      <c r="AF50" s="298">
        <f>IF($P$3=Tarifs!$A$104,AC50+AE50,AB50)</f>
        <v>0</v>
      </c>
      <c r="AG50" s="297">
        <f>IF($P$3=Tarifs!$A$104,IF($P$8=0,2,IF(T50&lt;=AH49,T50,AH49)),0)</f>
        <v>0</v>
      </c>
      <c r="AH50" s="298">
        <f t="shared" ref="AH50:AH56" si="34">AH49-AG50</f>
        <v>0</v>
      </c>
      <c r="AI50" s="298">
        <f t="shared" si="32"/>
        <v>0</v>
      </c>
      <c r="AJ50" s="14"/>
      <c r="AK50" s="14"/>
      <c r="AL50" s="14"/>
      <c r="AM50" s="14"/>
    </row>
    <row r="51" spans="1:39" ht="15" customHeight="1" x14ac:dyDescent="0.25">
      <c r="A51" s="159" t="s">
        <v>75</v>
      </c>
      <c r="B51" s="309"/>
      <c r="C51" s="9"/>
      <c r="D51" s="171" t="s">
        <v>1</v>
      </c>
      <c r="E51" s="172">
        <f>IF(DUREE="",0,IF(DUREE&lt;15,"N/A",DUREE))</f>
        <v>0</v>
      </c>
      <c r="F51" s="51" t="s">
        <v>1</v>
      </c>
      <c r="G51" s="45">
        <f>VLOOKUP(A51,Tarifs!A$20:E$30,2,FALSE)</f>
        <v>20</v>
      </c>
      <c r="H51" s="46" t="s">
        <v>26</v>
      </c>
      <c r="I51" s="47">
        <f>IF(ISNUMBER(E51),C51*E51*G51,0)</f>
        <v>0</v>
      </c>
      <c r="J51" s="48" t="s">
        <v>27</v>
      </c>
      <c r="K51" s="47">
        <f t="shared" ref="K51:K53" si="35">AF51</f>
        <v>0</v>
      </c>
      <c r="L51" s="48" t="s">
        <v>26</v>
      </c>
      <c r="M51" s="49">
        <f t="shared" ref="M51:M53" si="36">I51-K51</f>
        <v>0</v>
      </c>
      <c r="N51" s="14"/>
      <c r="O51" s="173" t="s">
        <v>172</v>
      </c>
      <c r="P51" s="174"/>
      <c r="Q51" s="174"/>
      <c r="R51" s="174"/>
      <c r="S51" s="174"/>
      <c r="T51" s="174"/>
      <c r="U51" s="174"/>
      <c r="V51" s="175"/>
      <c r="W51" s="174"/>
      <c r="X51" s="176"/>
      <c r="Y51" s="113"/>
      <c r="Z51" s="89">
        <f t="shared" ref="Z51:Z53" si="37">M51+X51</f>
        <v>0</v>
      </c>
      <c r="AA51" s="52"/>
      <c r="AB51" s="297">
        <f>IF(OR($P$3=Tarifs!$A$94,$P$3=Tarifs!$A$95,$P$3=Tarifs!$A$95,$P$3=Tarifs!$A$104),0,IF($O51="",0,IF($O51=Tarifs!$A$35,I51*$AB$11,I51*IFERROR(VLOOKUP(Tarifs!D$96,RABAIS,2,FALSE),0))))</f>
        <v>0</v>
      </c>
      <c r="AC51" s="297">
        <f>IF($P$3=Tarifs!$A$104,IF($O51=Tarifs!$A$35,0,IF(OR($P$7=0,I51&lt;=AD50),I51,AD50)),0)</f>
        <v>0</v>
      </c>
      <c r="AD51" s="298">
        <f t="shared" si="33"/>
        <v>0</v>
      </c>
      <c r="AE51" s="298">
        <f t="shared" si="31"/>
        <v>0</v>
      </c>
      <c r="AF51" s="298">
        <f>IF($P$3=Tarifs!$A$104,AC51+AE51,AB51)</f>
        <v>0</v>
      </c>
      <c r="AG51" s="297">
        <f>IF($P$3=Tarifs!$A$104,IF($P$8=0,2,IF(T51&lt;=AH50,T51,AH50)),0)</f>
        <v>0</v>
      </c>
      <c r="AH51" s="298">
        <f t="shared" si="34"/>
        <v>0</v>
      </c>
      <c r="AI51" s="298">
        <f t="shared" si="32"/>
        <v>0</v>
      </c>
      <c r="AJ51" s="14"/>
      <c r="AK51" s="14"/>
      <c r="AL51" s="14"/>
      <c r="AM51" s="14"/>
    </row>
    <row r="52" spans="1:39" ht="15" customHeight="1" x14ac:dyDescent="0.25">
      <c r="A52" s="177" t="s">
        <v>76</v>
      </c>
      <c r="B52" s="310"/>
      <c r="C52" s="421"/>
      <c r="D52" s="392"/>
      <c r="E52" s="413"/>
      <c r="F52" s="178" t="s">
        <v>1</v>
      </c>
      <c r="G52" s="58">
        <f>VLOOKUP(A52,Tarifs!A$20:E$30,2,FALSE)</f>
        <v>12</v>
      </c>
      <c r="H52" s="179" t="s">
        <v>26</v>
      </c>
      <c r="I52" s="59">
        <f t="shared" ref="I52:I53" si="38">C52*G52</f>
        <v>0</v>
      </c>
      <c r="J52" s="60" t="s">
        <v>27</v>
      </c>
      <c r="K52" s="59">
        <f t="shared" si="35"/>
        <v>0</v>
      </c>
      <c r="L52" s="60" t="s">
        <v>26</v>
      </c>
      <c r="M52" s="61">
        <f t="shared" si="36"/>
        <v>0</v>
      </c>
      <c r="N52" s="14"/>
      <c r="O52" s="180" t="s">
        <v>172</v>
      </c>
      <c r="P52" s="181"/>
      <c r="Q52" s="181"/>
      <c r="R52" s="181"/>
      <c r="S52" s="181"/>
      <c r="T52" s="181"/>
      <c r="U52" s="181"/>
      <c r="V52" s="182"/>
      <c r="W52" s="181"/>
      <c r="X52" s="183"/>
      <c r="Y52" s="113"/>
      <c r="Z52" s="95">
        <f t="shared" si="37"/>
        <v>0</v>
      </c>
      <c r="AA52" s="52"/>
      <c r="AB52" s="297">
        <f>IF(OR($P$3=Tarifs!$A$94,$P$3=Tarifs!$A$95,$P$3=Tarifs!$A$95,$P$3=Tarifs!$A$104),0,IF($O52="",0,IF($O52=Tarifs!$A$35,I52*$AB$11,I52*IFERROR(VLOOKUP(Tarifs!D$96,RABAIS,2,FALSE),0))))</f>
        <v>0</v>
      </c>
      <c r="AC52" s="297">
        <f>IF($P$3=Tarifs!$A$104,IF($O52=Tarifs!$A$35,0,IF(OR($P$7=0,I52&lt;=AD51),I52,AD51)),0)</f>
        <v>0</v>
      </c>
      <c r="AD52" s="298">
        <f t="shared" si="33"/>
        <v>0</v>
      </c>
      <c r="AE52" s="298">
        <f t="shared" si="31"/>
        <v>0</v>
      </c>
      <c r="AF52" s="298">
        <f>IF($P$3=Tarifs!$A$104,AC52+AE52,AB52)</f>
        <v>0</v>
      </c>
      <c r="AG52" s="297">
        <f>IF($P$3=Tarifs!$A$104,IF($P$8=0,2,IF(T52&lt;=AH51,T52,AH51)),0)</f>
        <v>0</v>
      </c>
      <c r="AH52" s="298">
        <f t="shared" si="34"/>
        <v>0</v>
      </c>
      <c r="AI52" s="298">
        <f t="shared" si="32"/>
        <v>0</v>
      </c>
      <c r="AJ52" s="14"/>
      <c r="AK52" s="14"/>
      <c r="AL52" s="14"/>
      <c r="AM52" s="14"/>
    </row>
    <row r="53" spans="1:39" ht="15" customHeight="1" x14ac:dyDescent="0.25">
      <c r="A53" s="159" t="s">
        <v>77</v>
      </c>
      <c r="B53" s="309"/>
      <c r="C53" s="422"/>
      <c r="D53" s="392"/>
      <c r="E53" s="413"/>
      <c r="F53" s="184" t="s">
        <v>1</v>
      </c>
      <c r="G53" s="45">
        <f>VLOOKUP(A53,Tarifs!A$20:E$30,2,FALSE)</f>
        <v>300</v>
      </c>
      <c r="H53" s="46" t="s">
        <v>26</v>
      </c>
      <c r="I53" s="47">
        <f t="shared" si="38"/>
        <v>0</v>
      </c>
      <c r="J53" s="48" t="s">
        <v>27</v>
      </c>
      <c r="K53" s="47">
        <f t="shared" si="35"/>
        <v>0</v>
      </c>
      <c r="L53" s="48" t="s">
        <v>26</v>
      </c>
      <c r="M53" s="49">
        <f t="shared" si="36"/>
        <v>0</v>
      </c>
      <c r="N53" s="14"/>
      <c r="O53" s="173" t="s">
        <v>172</v>
      </c>
      <c r="P53" s="174"/>
      <c r="Q53" s="174"/>
      <c r="R53" s="174"/>
      <c r="S53" s="174"/>
      <c r="T53" s="174"/>
      <c r="U53" s="174"/>
      <c r="V53" s="175"/>
      <c r="W53" s="174"/>
      <c r="X53" s="176"/>
      <c r="Y53" s="113"/>
      <c r="Z53" s="89">
        <f t="shared" si="37"/>
        <v>0</v>
      </c>
      <c r="AA53" s="52"/>
      <c r="AB53" s="297">
        <f>IF(OR($P$3=Tarifs!$A$94,$P$3=Tarifs!$A$95,$P$3=Tarifs!$A$95,$P$3=Tarifs!$A$104),0,IF($O53="",0,IF($O53=Tarifs!$A$35,I53*$AB$11,I53*IFERROR(VLOOKUP(Tarifs!D$96,RABAIS,2,FALSE),0))))</f>
        <v>0</v>
      </c>
      <c r="AC53" s="297">
        <f>IF($P$3=Tarifs!$A$104,IF($O53=Tarifs!$A$35,0,IF(OR($P$7=0,I53&lt;=AD52),I53,AD52)),0)</f>
        <v>0</v>
      </c>
      <c r="AD53" s="298">
        <f t="shared" si="33"/>
        <v>0</v>
      </c>
      <c r="AE53" s="298">
        <f t="shared" si="31"/>
        <v>0</v>
      </c>
      <c r="AF53" s="298">
        <f>IF($P$3=Tarifs!$A$104,AC53+AE53,AB53)</f>
        <v>0</v>
      </c>
      <c r="AG53" s="297">
        <f>IF($P$3=Tarifs!$A$104,IF($P$8=0,2,IF(T53&lt;=AH52,T53,AH52)),0)</f>
        <v>0</v>
      </c>
      <c r="AH53" s="298">
        <f t="shared" si="34"/>
        <v>0</v>
      </c>
      <c r="AI53" s="298">
        <f t="shared" si="32"/>
        <v>0</v>
      </c>
      <c r="AJ53" s="14"/>
      <c r="AK53" s="14"/>
      <c r="AL53" s="14"/>
      <c r="AM53" s="14"/>
    </row>
    <row r="54" spans="1:39" ht="14.25" customHeight="1" x14ac:dyDescent="0.25">
      <c r="A54" s="154" t="s">
        <v>3</v>
      </c>
      <c r="B54" s="308"/>
      <c r="C54" s="476" t="s">
        <v>23</v>
      </c>
      <c r="D54" s="407"/>
      <c r="E54" s="408"/>
      <c r="F54" s="155"/>
      <c r="G54" s="155"/>
      <c r="H54" s="155"/>
      <c r="I54" s="155"/>
      <c r="J54" s="155"/>
      <c r="K54" s="155"/>
      <c r="L54" s="155"/>
      <c r="M54" s="156"/>
      <c r="N54" s="14"/>
      <c r="O54" s="185"/>
      <c r="P54" s="155"/>
      <c r="Q54" s="155"/>
      <c r="R54" s="155"/>
      <c r="S54" s="155"/>
      <c r="T54" s="155"/>
      <c r="U54" s="155"/>
      <c r="V54" s="155"/>
      <c r="W54" s="155"/>
      <c r="X54" s="156"/>
      <c r="Y54" s="113"/>
      <c r="Z54" s="170"/>
      <c r="AA54" s="52"/>
      <c r="AB54" s="297">
        <f>IF(OR($P$3=Tarifs!$A$94,$P$3=Tarifs!$A$95,$P$3=Tarifs!$A$95,$P$3=Tarifs!$A$104),0,IF($O54="",0,IF($O54=Tarifs!$A$35,I54*$AB$11,I54*IFERROR(VLOOKUP(Tarifs!D$96,RABAIS,2,FALSE),0))))</f>
        <v>0</v>
      </c>
      <c r="AC54" s="297">
        <f>IF($P$3=Tarifs!$A$104,IF($O54=Tarifs!$A$35,0,IF(OR($P$7=0,I54&lt;=AD53),I54,AD53)),0)</f>
        <v>0</v>
      </c>
      <c r="AD54" s="298">
        <f t="shared" si="33"/>
        <v>0</v>
      </c>
      <c r="AE54" s="298">
        <f t="shared" si="31"/>
        <v>0</v>
      </c>
      <c r="AF54" s="298">
        <f>IF($P$3=Tarifs!$A$104,AC54+AE54,AB54)</f>
        <v>0</v>
      </c>
      <c r="AG54" s="297">
        <f>IF($P$3=Tarifs!$A$104,IF($P$8=0,2,IF(T54&lt;=AH53,T54,AH53)),0)</f>
        <v>0</v>
      </c>
      <c r="AH54" s="298">
        <f t="shared" si="34"/>
        <v>0</v>
      </c>
      <c r="AI54" s="298">
        <f t="shared" si="32"/>
        <v>0</v>
      </c>
      <c r="AJ54" s="14"/>
      <c r="AK54" s="14"/>
      <c r="AL54" s="14"/>
      <c r="AM54" s="14"/>
    </row>
    <row r="55" spans="1:39" ht="14.25" customHeight="1" x14ac:dyDescent="0.25">
      <c r="A55" s="159" t="s">
        <v>73</v>
      </c>
      <c r="B55" s="309"/>
      <c r="C55" s="422"/>
      <c r="D55" s="392"/>
      <c r="E55" s="413"/>
      <c r="F55" s="51" t="s">
        <v>1</v>
      </c>
      <c r="G55" s="45">
        <f>VLOOKUP(A55,Tarifs!A$20:E$30,2,FALSE)</f>
        <v>150</v>
      </c>
      <c r="H55" s="46" t="s">
        <v>26</v>
      </c>
      <c r="I55" s="47">
        <f t="shared" ref="I55:I56" si="39">C55*G55</f>
        <v>0</v>
      </c>
      <c r="J55" s="48" t="s">
        <v>27</v>
      </c>
      <c r="K55" s="47">
        <f t="shared" ref="K55:K56" si="40">AF55</f>
        <v>0</v>
      </c>
      <c r="L55" s="48" t="s">
        <v>26</v>
      </c>
      <c r="M55" s="49">
        <f t="shared" ref="M55:M56" si="41">I55-K55</f>
        <v>0</v>
      </c>
      <c r="N55" s="14"/>
      <c r="O55" s="186" t="s">
        <v>172</v>
      </c>
      <c r="P55" s="51"/>
      <c r="Q55" s="51"/>
      <c r="R55" s="51"/>
      <c r="S55" s="51"/>
      <c r="T55" s="51"/>
      <c r="U55" s="51"/>
      <c r="V55" s="52"/>
      <c r="W55" s="52"/>
      <c r="X55" s="187"/>
      <c r="Y55" s="113"/>
      <c r="Z55" s="89">
        <f t="shared" ref="Z55:Z56" si="42">M55+X55</f>
        <v>0</v>
      </c>
      <c r="AA55" s="52"/>
      <c r="AB55" s="297">
        <f>IF(OR($P$3=Tarifs!$A$94,$P$3=Tarifs!$A$95,$P$3=Tarifs!$A$95,$P$3=Tarifs!$A$104),0,IF($O55="",0,IF($O55=Tarifs!$A$35,I55*$AB$11,I55*IFERROR(VLOOKUP(Tarifs!D$96,RABAIS,2,FALSE),0))))</f>
        <v>0</v>
      </c>
      <c r="AC55" s="297">
        <f>IF($P$3=Tarifs!$A$104,IF($O55=Tarifs!$A$35,0,IF(OR($P$7=0,I55&lt;=AD54),I55,AD54)),0)</f>
        <v>0</v>
      </c>
      <c r="AD55" s="298">
        <f t="shared" si="33"/>
        <v>0</v>
      </c>
      <c r="AE55" s="298">
        <f t="shared" si="31"/>
        <v>0</v>
      </c>
      <c r="AF55" s="298">
        <f>IF($P$3=Tarifs!$A$104,AC55+AE55,AB55)</f>
        <v>0</v>
      </c>
      <c r="AG55" s="297">
        <f>IF($P$3=Tarifs!$A$104,IF($P$8=0,2,IF(T55&lt;=AH54,T55,AH54)),0)</f>
        <v>0</v>
      </c>
      <c r="AH55" s="298">
        <f t="shared" si="34"/>
        <v>0</v>
      </c>
      <c r="AI55" s="298">
        <f t="shared" si="32"/>
        <v>0</v>
      </c>
      <c r="AJ55" s="14"/>
      <c r="AK55" s="14"/>
      <c r="AL55" s="14"/>
      <c r="AM55" s="14"/>
    </row>
    <row r="56" spans="1:39" ht="14.25" customHeight="1" thickBot="1" x14ac:dyDescent="0.3">
      <c r="A56" s="188" t="s">
        <v>74</v>
      </c>
      <c r="B56" s="311"/>
      <c r="C56" s="480"/>
      <c r="D56" s="416"/>
      <c r="E56" s="417"/>
      <c r="F56" s="189" t="s">
        <v>1</v>
      </c>
      <c r="G56" s="129">
        <f>VLOOKUP(A56,Tarifs!A$20:E$30,2,FALSE)</f>
        <v>300</v>
      </c>
      <c r="H56" s="190" t="s">
        <v>26</v>
      </c>
      <c r="I56" s="132">
        <f t="shared" si="39"/>
        <v>0</v>
      </c>
      <c r="J56" s="131" t="s">
        <v>27</v>
      </c>
      <c r="K56" s="132">
        <f t="shared" si="40"/>
        <v>0</v>
      </c>
      <c r="L56" s="131" t="s">
        <v>26</v>
      </c>
      <c r="M56" s="133">
        <f t="shared" si="41"/>
        <v>0</v>
      </c>
      <c r="N56" s="34"/>
      <c r="O56" s="191" t="s">
        <v>172</v>
      </c>
      <c r="P56" s="189"/>
      <c r="Q56" s="189"/>
      <c r="R56" s="189"/>
      <c r="S56" s="189"/>
      <c r="T56" s="189"/>
      <c r="U56" s="189"/>
      <c r="V56" s="137"/>
      <c r="W56" s="137"/>
      <c r="X56" s="192"/>
      <c r="Y56" s="113"/>
      <c r="Z56" s="139">
        <f t="shared" si="42"/>
        <v>0</v>
      </c>
      <c r="AA56" s="52"/>
      <c r="AB56" s="297">
        <f>IF(OR($P$3=Tarifs!$A$94,$P$3=Tarifs!$A$95,$P$3=Tarifs!$A$95,$P$3=Tarifs!$A$104),0,IF($O56="",0,IF($O56=Tarifs!$A$35,I56*$AB$11,I56*IFERROR(VLOOKUP(Tarifs!D$96,RABAIS,2,FALSE),0))))</f>
        <v>0</v>
      </c>
      <c r="AC56" s="297">
        <f>IF($P$3=Tarifs!$A$104,IF($O56=Tarifs!$A$35,0,IF(OR($P$7=0,I56&lt;=AD55),I56,AD55)),0)</f>
        <v>0</v>
      </c>
      <c r="AD56" s="298">
        <f t="shared" si="33"/>
        <v>0</v>
      </c>
      <c r="AE56" s="298">
        <f t="shared" si="31"/>
        <v>0</v>
      </c>
      <c r="AF56" s="298">
        <f>IF($P$3=Tarifs!$A$104,AC56+AE56,AB56)</f>
        <v>0</v>
      </c>
      <c r="AG56" s="297">
        <f>IF($P$3=Tarifs!$A$104,IF($P$8=0,2,IF(T56&lt;=AH55,T56,AH55)),0)</f>
        <v>0</v>
      </c>
      <c r="AH56" s="298">
        <f t="shared" si="34"/>
        <v>0</v>
      </c>
      <c r="AI56" s="298">
        <f t="shared" si="32"/>
        <v>0</v>
      </c>
      <c r="AJ56" s="14"/>
      <c r="AK56" s="14"/>
      <c r="AL56" s="14"/>
      <c r="AM56" s="14"/>
    </row>
    <row r="57" spans="1:39" ht="18.75" customHeight="1" thickTop="1" thickBot="1" x14ac:dyDescent="0.35">
      <c r="A57" s="477" t="s">
        <v>162</v>
      </c>
      <c r="B57" s="478"/>
      <c r="C57" s="401"/>
      <c r="D57" s="401"/>
      <c r="E57" s="401"/>
      <c r="F57" s="401"/>
      <c r="G57" s="402"/>
      <c r="H57" s="193"/>
      <c r="I57" s="194">
        <f>SUM(I49:I56)</f>
        <v>0</v>
      </c>
      <c r="J57" s="195" t="s">
        <v>27</v>
      </c>
      <c r="K57" s="196">
        <f>SUM(K49:K56)</f>
        <v>0</v>
      </c>
      <c r="L57" s="197" t="s">
        <v>26</v>
      </c>
      <c r="M57" s="198">
        <f>SUM(M49:M56)</f>
        <v>0</v>
      </c>
      <c r="N57" s="34"/>
      <c r="O57" s="199"/>
      <c r="P57" s="200"/>
      <c r="Q57" s="200"/>
      <c r="R57" s="200"/>
      <c r="S57" s="200"/>
      <c r="T57" s="193">
        <f>SUM(T49:T56)</f>
        <v>0</v>
      </c>
      <c r="U57" s="201" t="s">
        <v>27</v>
      </c>
      <c r="V57" s="196">
        <f>SUM(V49:V56)</f>
        <v>0</v>
      </c>
      <c r="W57" s="197" t="s">
        <v>26</v>
      </c>
      <c r="X57" s="202">
        <f>SUM(X49:X56)</f>
        <v>0</v>
      </c>
      <c r="Y57" s="113"/>
      <c r="Z57" s="203">
        <f>SUM(Z49:Z56)</f>
        <v>0</v>
      </c>
      <c r="AA57" s="300"/>
      <c r="AB57" s="116"/>
      <c r="AC57" s="116"/>
      <c r="AD57" s="14"/>
      <c r="AE57" s="14"/>
      <c r="AF57" s="14"/>
      <c r="AG57" s="14"/>
      <c r="AH57" s="14"/>
      <c r="AI57" s="14"/>
      <c r="AJ57" s="14"/>
      <c r="AK57" s="14"/>
      <c r="AL57" s="14"/>
      <c r="AM57" s="14"/>
    </row>
    <row r="58" spans="1:39" ht="5.25" customHeight="1" thickBot="1" x14ac:dyDescent="0.3">
      <c r="A58" s="34"/>
      <c r="B58" s="31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04"/>
      <c r="Y58" s="204"/>
      <c r="Z58" s="204"/>
      <c r="AA58" s="204"/>
      <c r="AB58" s="302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</row>
    <row r="59" spans="1:39" ht="25.5" customHeight="1" x14ac:dyDescent="0.25">
      <c r="A59" s="205" t="s">
        <v>193</v>
      </c>
      <c r="B59" s="313"/>
      <c r="C59" s="206"/>
      <c r="D59" s="206"/>
      <c r="E59" s="206"/>
      <c r="F59" s="206"/>
      <c r="G59" s="479"/>
      <c r="H59" s="404"/>
      <c r="I59" s="404"/>
      <c r="J59" s="404"/>
      <c r="K59" s="404"/>
      <c r="L59" s="404"/>
      <c r="M59" s="405"/>
      <c r="N59" s="34"/>
      <c r="O59" s="205"/>
      <c r="P59" s="206"/>
      <c r="Q59" s="206"/>
      <c r="R59" s="206"/>
      <c r="S59" s="206"/>
      <c r="T59" s="206"/>
      <c r="U59" s="206"/>
      <c r="V59" s="206"/>
      <c r="W59" s="206"/>
      <c r="X59" s="207"/>
      <c r="Y59" s="34"/>
      <c r="Z59" s="474" t="str">
        <f>IF(Tarifs!$D$96=Tarifs!$B$102,"TOTAL Payable by the organization", "TOTAL Payable by the artist")</f>
        <v>TOTAL Payable by the artist</v>
      </c>
      <c r="AA59" s="301"/>
      <c r="AB59" s="291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</row>
    <row r="60" spans="1:39" x14ac:dyDescent="0.25">
      <c r="A60" s="208" t="s">
        <v>194</v>
      </c>
      <c r="B60" s="314"/>
      <c r="C60" s="493" t="s">
        <v>23</v>
      </c>
      <c r="D60" s="407"/>
      <c r="E60" s="408"/>
      <c r="F60" s="209"/>
      <c r="G60" s="210" t="s">
        <v>144</v>
      </c>
      <c r="H60" s="209"/>
      <c r="I60" s="210" t="s">
        <v>152</v>
      </c>
      <c r="J60" s="210"/>
      <c r="K60" s="210" t="s">
        <v>153</v>
      </c>
      <c r="L60" s="210"/>
      <c r="M60" s="211" t="s">
        <v>25</v>
      </c>
      <c r="N60" s="34"/>
      <c r="O60" s="212"/>
      <c r="P60" s="213"/>
      <c r="Q60" s="214"/>
      <c r="R60" s="214"/>
      <c r="S60" s="213"/>
      <c r="T60" s="214"/>
      <c r="U60" s="214"/>
      <c r="V60" s="214"/>
      <c r="W60" s="214"/>
      <c r="X60" s="215"/>
      <c r="Y60" s="34"/>
      <c r="Z60" s="472"/>
      <c r="AA60" s="301"/>
      <c r="AB60" s="302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</row>
    <row r="61" spans="1:39" ht="15" customHeight="1" x14ac:dyDescent="0.25">
      <c r="A61" s="423"/>
      <c r="B61" s="424"/>
      <c r="C61" s="481"/>
      <c r="D61" s="482"/>
      <c r="E61" s="483"/>
      <c r="F61" s="52" t="s">
        <v>1</v>
      </c>
      <c r="G61" s="52">
        <f>IF(C61="",0,VLOOKUP(A61,Tarifs!A86:B92,2,FALSE))</f>
        <v>0</v>
      </c>
      <c r="H61" s="52" t="s">
        <v>26</v>
      </c>
      <c r="I61" s="47">
        <f>IFERROR(C61*G61,0)</f>
        <v>0</v>
      </c>
      <c r="J61" s="87" t="s">
        <v>27</v>
      </c>
      <c r="K61" s="52">
        <v>0</v>
      </c>
      <c r="L61" s="48" t="s">
        <v>26</v>
      </c>
      <c r="M61" s="49">
        <f t="shared" ref="M61:M65" si="43">I61-K61</f>
        <v>0</v>
      </c>
      <c r="N61" s="34"/>
      <c r="O61" s="216"/>
      <c r="P61" s="51"/>
      <c r="Q61" s="52"/>
      <c r="R61" s="53"/>
      <c r="S61" s="53"/>
      <c r="T61" s="52"/>
      <c r="U61" s="52"/>
      <c r="V61" s="52"/>
      <c r="W61" s="52"/>
      <c r="X61" s="54"/>
      <c r="Y61" s="34"/>
      <c r="Z61" s="89">
        <f t="shared" ref="Z61:Z65" si="44">M61</f>
        <v>0</v>
      </c>
      <c r="AA61" s="52"/>
      <c r="AB61" s="291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</row>
    <row r="62" spans="1:39" ht="15" customHeight="1" x14ac:dyDescent="0.25">
      <c r="A62" s="425"/>
      <c r="B62" s="426"/>
      <c r="C62" s="414"/>
      <c r="D62" s="392"/>
      <c r="E62" s="413"/>
      <c r="F62" s="93" t="s">
        <v>1</v>
      </c>
      <c r="G62" s="93">
        <f>IF(A62="",0,VLOOKUP(A62,Tarifs!A$86:B$92,2,FALSE))</f>
        <v>0</v>
      </c>
      <c r="H62" s="93" t="s">
        <v>26</v>
      </c>
      <c r="I62" s="93">
        <f t="shared" ref="I62:I65" si="45">C62*G62</f>
        <v>0</v>
      </c>
      <c r="J62" s="91" t="s">
        <v>27</v>
      </c>
      <c r="K62" s="93">
        <v>0</v>
      </c>
      <c r="L62" s="60" t="s">
        <v>26</v>
      </c>
      <c r="M62" s="217">
        <f t="shared" si="43"/>
        <v>0</v>
      </c>
      <c r="N62" s="34"/>
      <c r="O62" s="216"/>
      <c r="P62" s="52"/>
      <c r="Q62" s="52"/>
      <c r="R62" s="53"/>
      <c r="S62" s="52"/>
      <c r="T62" s="52"/>
      <c r="U62" s="52"/>
      <c r="V62" s="52"/>
      <c r="W62" s="52"/>
      <c r="X62" s="54"/>
      <c r="Y62" s="34"/>
      <c r="Z62" s="95">
        <f t="shared" si="44"/>
        <v>0</v>
      </c>
      <c r="AA62" s="52"/>
      <c r="AB62" s="302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</row>
    <row r="63" spans="1:39" ht="15" customHeight="1" x14ac:dyDescent="0.25">
      <c r="A63" s="423"/>
      <c r="B63" s="424"/>
      <c r="C63" s="412"/>
      <c r="D63" s="392"/>
      <c r="E63" s="413"/>
      <c r="F63" s="52" t="s">
        <v>1</v>
      </c>
      <c r="G63" s="52">
        <f>IF(A63="",0,VLOOKUP(A63,Tarifs!A$86:B$92,2,FALSE))</f>
        <v>0</v>
      </c>
      <c r="H63" s="52" t="s">
        <v>26</v>
      </c>
      <c r="I63" s="52">
        <f t="shared" si="45"/>
        <v>0</v>
      </c>
      <c r="J63" s="87" t="s">
        <v>27</v>
      </c>
      <c r="K63" s="52">
        <v>0</v>
      </c>
      <c r="L63" s="48" t="s">
        <v>26</v>
      </c>
      <c r="M63" s="187">
        <f t="shared" si="43"/>
        <v>0</v>
      </c>
      <c r="N63" s="34"/>
      <c r="O63" s="216"/>
      <c r="P63" s="52"/>
      <c r="Q63" s="52"/>
      <c r="R63" s="53"/>
      <c r="S63" s="52"/>
      <c r="T63" s="52"/>
      <c r="U63" s="52"/>
      <c r="V63" s="52"/>
      <c r="W63" s="52"/>
      <c r="X63" s="54"/>
      <c r="Y63" s="34"/>
      <c r="Z63" s="89">
        <f t="shared" si="44"/>
        <v>0</v>
      </c>
      <c r="AA63" s="52"/>
      <c r="AB63" s="291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</row>
    <row r="64" spans="1:39" ht="15" customHeight="1" x14ac:dyDescent="0.25">
      <c r="A64" s="425"/>
      <c r="B64" s="426"/>
      <c r="C64" s="414"/>
      <c r="D64" s="392"/>
      <c r="E64" s="413"/>
      <c r="F64" s="93" t="s">
        <v>1</v>
      </c>
      <c r="G64" s="93">
        <f>IF(A64="",0,VLOOKUP(A64,Tarifs!A$86:B$92,2,FALSE))</f>
        <v>0</v>
      </c>
      <c r="H64" s="93" t="s">
        <v>26</v>
      </c>
      <c r="I64" s="93">
        <f t="shared" si="45"/>
        <v>0</v>
      </c>
      <c r="J64" s="91" t="s">
        <v>27</v>
      </c>
      <c r="K64" s="93">
        <v>0</v>
      </c>
      <c r="L64" s="60" t="s">
        <v>26</v>
      </c>
      <c r="M64" s="217">
        <f t="shared" si="43"/>
        <v>0</v>
      </c>
      <c r="N64" s="34"/>
      <c r="O64" s="216"/>
      <c r="P64" s="52"/>
      <c r="Q64" s="52"/>
      <c r="R64" s="53"/>
      <c r="S64" s="52"/>
      <c r="T64" s="52"/>
      <c r="U64" s="52"/>
      <c r="V64" s="52"/>
      <c r="W64" s="52"/>
      <c r="X64" s="54"/>
      <c r="Y64" s="34"/>
      <c r="Z64" s="95">
        <f t="shared" si="44"/>
        <v>0</v>
      </c>
      <c r="AA64" s="52"/>
      <c r="AB64" s="302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</row>
    <row r="65" spans="1:39" ht="15" customHeight="1" thickBot="1" x14ac:dyDescent="0.3">
      <c r="A65" s="427"/>
      <c r="B65" s="428"/>
      <c r="C65" s="415"/>
      <c r="D65" s="416"/>
      <c r="E65" s="417"/>
      <c r="F65" s="69" t="s">
        <v>1</v>
      </c>
      <c r="G65" s="69">
        <f>IF(A65="",0,VLOOKUP(A65,Tarifs!A$86:B$92,2,FALSE))</f>
        <v>0</v>
      </c>
      <c r="H65" s="69" t="s">
        <v>26</v>
      </c>
      <c r="I65" s="69">
        <f t="shared" si="45"/>
        <v>0</v>
      </c>
      <c r="J65" s="69" t="s">
        <v>27</v>
      </c>
      <c r="K65" s="69">
        <v>0</v>
      </c>
      <c r="L65" s="218" t="s">
        <v>26</v>
      </c>
      <c r="M65" s="219">
        <f t="shared" si="43"/>
        <v>0</v>
      </c>
      <c r="N65" s="34"/>
      <c r="O65" s="220"/>
      <c r="P65" s="69"/>
      <c r="Q65" s="69"/>
      <c r="R65" s="70"/>
      <c r="S65" s="69"/>
      <c r="T65" s="69"/>
      <c r="U65" s="69"/>
      <c r="V65" s="69"/>
      <c r="W65" s="69"/>
      <c r="X65" s="71"/>
      <c r="Y65" s="34"/>
      <c r="Z65" s="100">
        <f t="shared" si="44"/>
        <v>0</v>
      </c>
      <c r="AA65" s="52"/>
      <c r="AB65" s="291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</row>
    <row r="66" spans="1:39" ht="15" customHeight="1" thickTop="1" thickBot="1" x14ac:dyDescent="0.35">
      <c r="A66" s="418" t="s">
        <v>161</v>
      </c>
      <c r="B66" s="419"/>
      <c r="C66" s="401"/>
      <c r="D66" s="401"/>
      <c r="E66" s="401"/>
      <c r="F66" s="401"/>
      <c r="G66" s="402"/>
      <c r="H66" s="221"/>
      <c r="I66" s="222">
        <f>SUM(I58:I65)</f>
        <v>0</v>
      </c>
      <c r="J66" s="223" t="s">
        <v>27</v>
      </c>
      <c r="K66" s="224">
        <f>SUM(K58:K65)</f>
        <v>0</v>
      </c>
      <c r="L66" s="225" t="s">
        <v>26</v>
      </c>
      <c r="M66" s="226">
        <f>SUM(M58:M65)</f>
        <v>0</v>
      </c>
      <c r="N66" s="34"/>
      <c r="O66" s="227"/>
      <c r="P66" s="228"/>
      <c r="Q66" s="228"/>
      <c r="R66" s="228"/>
      <c r="S66" s="228"/>
      <c r="T66" s="228"/>
      <c r="U66" s="229"/>
      <c r="V66" s="228"/>
      <c r="W66" s="229"/>
      <c r="X66" s="230"/>
      <c r="Y66" s="113"/>
      <c r="Z66" s="231">
        <f>SUM(Z61:Z65)</f>
        <v>0</v>
      </c>
      <c r="AA66" s="300"/>
      <c r="AB66" s="302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</row>
    <row r="67" spans="1:39" ht="7.5" customHeight="1" thickBot="1" x14ac:dyDescent="0.3">
      <c r="A67" s="34"/>
      <c r="B67" s="31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Y67" s="204"/>
      <c r="Z67" s="204"/>
      <c r="AA67" s="204"/>
      <c r="AB67" s="302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</row>
    <row r="68" spans="1:39" ht="25.5" customHeight="1" x14ac:dyDescent="0.25">
      <c r="A68" s="232" t="s">
        <v>159</v>
      </c>
      <c r="B68" s="315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4"/>
      <c r="N68" s="34"/>
      <c r="O68" s="235"/>
      <c r="P68" s="236"/>
      <c r="Q68" s="236"/>
      <c r="R68" s="236"/>
      <c r="S68" s="236"/>
      <c r="T68" s="236"/>
      <c r="U68" s="236"/>
      <c r="V68" s="236"/>
      <c r="W68" s="236"/>
      <c r="X68" s="237"/>
      <c r="Y68" s="204"/>
      <c r="Z68" s="475" t="str">
        <f>IF(Tarifs!$D$96=Tarifs!$B$102,"TOTAL Payable by the organization", "TOTAL Payable by the artist")</f>
        <v>TOTAL Payable by the artist</v>
      </c>
      <c r="AA68" s="301"/>
      <c r="AB68" s="302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</row>
    <row r="69" spans="1:39" x14ac:dyDescent="0.25">
      <c r="A69" s="238" t="s">
        <v>160</v>
      </c>
      <c r="B69" s="316"/>
      <c r="C69" s="494" t="s">
        <v>23</v>
      </c>
      <c r="D69" s="407"/>
      <c r="E69" s="408"/>
      <c r="F69" s="239"/>
      <c r="G69" s="240" t="s">
        <v>144</v>
      </c>
      <c r="H69" s="239"/>
      <c r="I69" s="241" t="s">
        <v>152</v>
      </c>
      <c r="J69" s="239"/>
      <c r="K69" s="242" t="s">
        <v>153</v>
      </c>
      <c r="L69" s="239"/>
      <c r="M69" s="243" t="s">
        <v>25</v>
      </c>
      <c r="N69" s="34"/>
      <c r="O69" s="244"/>
      <c r="P69" s="245"/>
      <c r="Q69" s="246"/>
      <c r="R69" s="246"/>
      <c r="S69" s="245"/>
      <c r="T69" s="246"/>
      <c r="U69" s="246"/>
      <c r="V69" s="246"/>
      <c r="W69" s="246"/>
      <c r="X69" s="247"/>
      <c r="Y69" s="204"/>
      <c r="Z69" s="472"/>
      <c r="AA69" s="301"/>
      <c r="AB69" s="302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</row>
    <row r="70" spans="1:39" ht="15" customHeight="1" x14ac:dyDescent="0.25">
      <c r="A70" s="500"/>
      <c r="B70" s="501"/>
      <c r="C70" s="495"/>
      <c r="D70" s="392"/>
      <c r="E70" s="413"/>
      <c r="F70" s="52" t="s">
        <v>1</v>
      </c>
      <c r="G70" s="10">
        <v>0</v>
      </c>
      <c r="H70" s="52" t="s">
        <v>26</v>
      </c>
      <c r="I70" s="52">
        <f t="shared" ref="I70:I73" si="46">IF(C70=0,0,C70*G70)</f>
        <v>0</v>
      </c>
      <c r="J70" s="87" t="s">
        <v>27</v>
      </c>
      <c r="K70" s="10">
        <v>0</v>
      </c>
      <c r="L70" s="52" t="s">
        <v>26</v>
      </c>
      <c r="M70" s="187">
        <f t="shared" ref="M70:M73" si="47">I70-K70</f>
        <v>0</v>
      </c>
      <c r="N70" s="34"/>
      <c r="O70" s="248"/>
      <c r="P70" s="51"/>
      <c r="Q70" s="52"/>
      <c r="R70" s="53"/>
      <c r="S70" s="53"/>
      <c r="T70" s="52"/>
      <c r="U70" s="52"/>
      <c r="V70" s="52"/>
      <c r="W70" s="52"/>
      <c r="X70" s="54"/>
      <c r="Y70" s="204"/>
      <c r="Z70" s="89">
        <f t="shared" ref="Z70:Z73" si="48">M70</f>
        <v>0</v>
      </c>
      <c r="AA70" s="52"/>
      <c r="AB70" s="302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</row>
    <row r="71" spans="1:39" ht="15" customHeight="1" x14ac:dyDescent="0.25">
      <c r="A71" s="502"/>
      <c r="B71" s="503"/>
      <c r="C71" s="496"/>
      <c r="D71" s="392"/>
      <c r="E71" s="413"/>
      <c r="F71" s="93" t="s">
        <v>1</v>
      </c>
      <c r="G71" s="11">
        <v>0</v>
      </c>
      <c r="H71" s="93" t="s">
        <v>26</v>
      </c>
      <c r="I71" s="93">
        <f t="shared" si="46"/>
        <v>0</v>
      </c>
      <c r="J71" s="91" t="s">
        <v>27</v>
      </c>
      <c r="K71" s="11">
        <v>0</v>
      </c>
      <c r="L71" s="93" t="s">
        <v>26</v>
      </c>
      <c r="M71" s="217">
        <f t="shared" si="47"/>
        <v>0</v>
      </c>
      <c r="N71" s="34"/>
      <c r="O71" s="248"/>
      <c r="P71" s="52"/>
      <c r="Q71" s="52"/>
      <c r="R71" s="53"/>
      <c r="S71" s="52"/>
      <c r="T71" s="52"/>
      <c r="U71" s="52"/>
      <c r="V71" s="52"/>
      <c r="W71" s="52"/>
      <c r="X71" s="54"/>
      <c r="Y71" s="204"/>
      <c r="Z71" s="95">
        <f t="shared" si="48"/>
        <v>0</v>
      </c>
      <c r="AA71" s="52"/>
      <c r="AB71" s="302"/>
      <c r="AC71" s="14"/>
      <c r="AD71" s="116"/>
      <c r="AE71" s="14"/>
      <c r="AF71" s="14"/>
      <c r="AG71" s="14"/>
      <c r="AH71" s="14"/>
      <c r="AI71" s="14"/>
      <c r="AJ71" s="14"/>
      <c r="AK71" s="14"/>
      <c r="AL71" s="14"/>
      <c r="AM71" s="14"/>
    </row>
    <row r="72" spans="1:39" ht="15" customHeight="1" x14ac:dyDescent="0.25">
      <c r="A72" s="500"/>
      <c r="B72" s="501"/>
      <c r="C72" s="495"/>
      <c r="D72" s="392"/>
      <c r="E72" s="413"/>
      <c r="F72" s="52" t="s">
        <v>1</v>
      </c>
      <c r="G72" s="10">
        <v>0</v>
      </c>
      <c r="H72" s="52" t="s">
        <v>26</v>
      </c>
      <c r="I72" s="52">
        <f t="shared" si="46"/>
        <v>0</v>
      </c>
      <c r="J72" s="87" t="s">
        <v>27</v>
      </c>
      <c r="K72" s="10">
        <v>0</v>
      </c>
      <c r="L72" s="52" t="s">
        <v>26</v>
      </c>
      <c r="M72" s="187">
        <f t="shared" si="47"/>
        <v>0</v>
      </c>
      <c r="N72" s="34"/>
      <c r="O72" s="248"/>
      <c r="P72" s="52"/>
      <c r="Q72" s="52"/>
      <c r="R72" s="53"/>
      <c r="S72" s="52"/>
      <c r="T72" s="52"/>
      <c r="U72" s="52"/>
      <c r="V72" s="52"/>
      <c r="W72" s="52"/>
      <c r="X72" s="54"/>
      <c r="Y72" s="204"/>
      <c r="Z72" s="89">
        <f t="shared" si="48"/>
        <v>0</v>
      </c>
      <c r="AA72" s="52"/>
      <c r="AB72" s="302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</row>
    <row r="73" spans="1:39" ht="15" customHeight="1" thickBot="1" x14ac:dyDescent="0.3">
      <c r="A73" s="504"/>
      <c r="B73" s="505"/>
      <c r="C73" s="497"/>
      <c r="D73" s="416"/>
      <c r="E73" s="417"/>
      <c r="F73" s="137" t="s">
        <v>1</v>
      </c>
      <c r="G73" s="12">
        <v>0</v>
      </c>
      <c r="H73" s="137" t="s">
        <v>26</v>
      </c>
      <c r="I73" s="137">
        <f t="shared" si="46"/>
        <v>0</v>
      </c>
      <c r="J73" s="137" t="s">
        <v>27</v>
      </c>
      <c r="K73" s="12">
        <v>0</v>
      </c>
      <c r="L73" s="137" t="s">
        <v>26</v>
      </c>
      <c r="M73" s="192">
        <f t="shared" si="47"/>
        <v>0</v>
      </c>
      <c r="N73" s="34"/>
      <c r="O73" s="249"/>
      <c r="P73" s="69"/>
      <c r="Q73" s="69"/>
      <c r="R73" s="70"/>
      <c r="S73" s="69"/>
      <c r="T73" s="69"/>
      <c r="U73" s="69"/>
      <c r="V73" s="69"/>
      <c r="W73" s="69"/>
      <c r="X73" s="71"/>
      <c r="Y73" s="204"/>
      <c r="Z73" s="139">
        <f t="shared" si="48"/>
        <v>0</v>
      </c>
      <c r="AA73" s="52"/>
      <c r="AB73" s="302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</row>
    <row r="74" spans="1:39" ht="15" customHeight="1" thickTop="1" thickBot="1" x14ac:dyDescent="0.35">
      <c r="A74" s="498" t="s">
        <v>33</v>
      </c>
      <c r="B74" s="499"/>
      <c r="C74" s="401"/>
      <c r="D74" s="401"/>
      <c r="E74" s="401"/>
      <c r="F74" s="401"/>
      <c r="G74" s="402"/>
      <c r="H74" s="250"/>
      <c r="I74" s="251">
        <f>SUM(I70:I73)</f>
        <v>0</v>
      </c>
      <c r="J74" s="250" t="s">
        <v>27</v>
      </c>
      <c r="K74" s="251">
        <f>SUM(K70:K73)</f>
        <v>0</v>
      </c>
      <c r="L74" s="250" t="s">
        <v>26</v>
      </c>
      <c r="M74" s="252">
        <f>SUM(M70:M73)</f>
        <v>0</v>
      </c>
      <c r="N74" s="34"/>
      <c r="O74" s="253"/>
      <c r="P74" s="254"/>
      <c r="Q74" s="254"/>
      <c r="R74" s="254"/>
      <c r="S74" s="254"/>
      <c r="T74" s="254"/>
      <c r="U74" s="250"/>
      <c r="V74" s="254"/>
      <c r="W74" s="250"/>
      <c r="X74" s="255"/>
      <c r="Y74" s="204"/>
      <c r="Z74" s="256">
        <f>SUM(Z70:Z73)</f>
        <v>0</v>
      </c>
      <c r="AA74" s="300"/>
      <c r="AB74" s="302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</row>
    <row r="75" spans="1:39" ht="15" customHeight="1" thickBot="1" x14ac:dyDescent="0.3">
      <c r="A75" s="34"/>
      <c r="B75" s="312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Y75" s="204"/>
      <c r="Z75" s="204"/>
      <c r="AA75" s="204"/>
      <c r="AB75" s="302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</row>
    <row r="76" spans="1:39" ht="21" customHeight="1" x14ac:dyDescent="0.25">
      <c r="A76" s="257" t="s">
        <v>167</v>
      </c>
      <c r="B76" s="317"/>
      <c r="C76" s="258"/>
      <c r="D76" s="258"/>
      <c r="E76" s="258"/>
      <c r="F76" s="258"/>
      <c r="G76" s="258"/>
      <c r="H76" s="258"/>
      <c r="I76" s="429" t="s">
        <v>191</v>
      </c>
      <c r="J76" s="404"/>
      <c r="K76" s="404"/>
      <c r="L76" s="404"/>
      <c r="M76" s="405"/>
      <c r="N76" s="259"/>
      <c r="O76" s="260"/>
      <c r="P76" s="258"/>
      <c r="Q76" s="258"/>
      <c r="R76" s="258"/>
      <c r="S76" s="258"/>
      <c r="T76" s="429" t="s">
        <v>82</v>
      </c>
      <c r="U76" s="404"/>
      <c r="V76" s="404"/>
      <c r="W76" s="404"/>
      <c r="X76" s="405"/>
      <c r="Y76" s="204"/>
      <c r="Z76" s="484" t="str">
        <f>IF(Tarifs!$D$96=Tarifs!$B$102,"TOTAL Payable by the organization", "TOTAL Payable by the artist")</f>
        <v>TOTAL Payable by the artist</v>
      </c>
      <c r="AA76" s="301"/>
      <c r="AB76" s="302"/>
      <c r="AC76" s="22"/>
      <c r="AD76" s="22"/>
      <c r="AE76" s="22"/>
      <c r="AF76" s="22"/>
      <c r="AG76" s="22"/>
      <c r="AH76" s="22"/>
      <c r="AI76" s="22"/>
      <c r="AJ76" s="22"/>
    </row>
    <row r="77" spans="1:39" ht="15.75" customHeight="1" x14ac:dyDescent="0.25">
      <c r="A77" s="261"/>
      <c r="B77" s="318"/>
      <c r="C77" s="262"/>
      <c r="D77" s="262"/>
      <c r="E77" s="262"/>
      <c r="F77" s="262"/>
      <c r="G77" s="262"/>
      <c r="H77" s="262"/>
      <c r="I77" s="263" t="s">
        <v>152</v>
      </c>
      <c r="J77" s="263"/>
      <c r="K77" s="263" t="s">
        <v>153</v>
      </c>
      <c r="L77" s="263"/>
      <c r="M77" s="264" t="s">
        <v>25</v>
      </c>
      <c r="N77" s="259"/>
      <c r="O77" s="265"/>
      <c r="P77" s="262"/>
      <c r="Q77" s="262"/>
      <c r="R77" s="262"/>
      <c r="S77" s="262"/>
      <c r="T77" s="263" t="s">
        <v>152</v>
      </c>
      <c r="U77" s="263"/>
      <c r="V77" s="263" t="s">
        <v>153</v>
      </c>
      <c r="W77" s="263"/>
      <c r="X77" s="264" t="s">
        <v>25</v>
      </c>
      <c r="Y77" s="259"/>
      <c r="Z77" s="472"/>
      <c r="AA77" s="301"/>
      <c r="AB77" s="302"/>
      <c r="AC77" s="22"/>
      <c r="AD77" s="22"/>
      <c r="AE77" s="22"/>
      <c r="AF77" s="22"/>
      <c r="AG77" s="22"/>
      <c r="AH77" s="22"/>
      <c r="AI77" s="22"/>
      <c r="AJ77" s="22"/>
    </row>
    <row r="78" spans="1:39" ht="21" customHeight="1" x14ac:dyDescent="0.25">
      <c r="A78" s="266" t="s">
        <v>168</v>
      </c>
      <c r="B78" s="319"/>
      <c r="C78" s="267"/>
      <c r="D78" s="267"/>
      <c r="E78" s="267"/>
      <c r="F78" s="267"/>
      <c r="G78" s="267"/>
      <c r="H78" s="267"/>
      <c r="I78" s="268">
        <f>SUM(I74,I66,I57,I45,I33,I20)</f>
        <v>0</v>
      </c>
      <c r="J78" s="267" t="s">
        <v>27</v>
      </c>
      <c r="K78" s="268">
        <f>SUM(K74,K66,K57,K45,K33,K20)</f>
        <v>0</v>
      </c>
      <c r="L78" s="267" t="s">
        <v>26</v>
      </c>
      <c r="M78" s="269">
        <f>SUM(M74,M66,M57,M45,M33,M20)</f>
        <v>0</v>
      </c>
      <c r="N78" s="259"/>
      <c r="O78" s="270"/>
      <c r="P78" s="271"/>
      <c r="Q78" s="271"/>
      <c r="R78" s="271"/>
      <c r="S78" s="271"/>
      <c r="T78" s="268">
        <f>SUM(T74,T66,T57,T45,T33,T20)</f>
        <v>0</v>
      </c>
      <c r="U78" s="267" t="s">
        <v>27</v>
      </c>
      <c r="V78" s="268">
        <f>SUM(V74,V66,V57,V45,V33,V20)</f>
        <v>0</v>
      </c>
      <c r="W78" s="267" t="s">
        <v>26</v>
      </c>
      <c r="X78" s="269">
        <f>SUM(X74,X66,X57,X45,X33,X20)</f>
        <v>0</v>
      </c>
      <c r="Y78" s="52"/>
      <c r="Z78" s="272">
        <f t="shared" ref="Z78:Z79" si="49">M78+X78</f>
        <v>0</v>
      </c>
      <c r="AA78" s="204"/>
      <c r="AB78" s="302"/>
      <c r="AC78" s="22"/>
      <c r="AD78" s="22"/>
      <c r="AE78" s="22"/>
      <c r="AF78" s="22"/>
      <c r="AG78" s="22"/>
      <c r="AH78" s="22"/>
      <c r="AI78" s="22"/>
      <c r="AJ78" s="22"/>
    </row>
    <row r="79" spans="1:39" ht="21" customHeight="1" thickBot="1" x14ac:dyDescent="0.3">
      <c r="A79" s="273" t="s">
        <v>169</v>
      </c>
      <c r="B79" s="320"/>
      <c r="C79" s="274"/>
      <c r="D79" s="274"/>
      <c r="E79" s="275">
        <f>M78</f>
        <v>0</v>
      </c>
      <c r="F79" s="274" t="s">
        <v>1</v>
      </c>
      <c r="G79" s="276">
        <v>0.1</v>
      </c>
      <c r="H79" s="274" t="s">
        <v>26</v>
      </c>
      <c r="I79" s="275">
        <f>E79*G79</f>
        <v>0</v>
      </c>
      <c r="J79" s="274" t="s">
        <v>27</v>
      </c>
      <c r="K79" s="275">
        <v>0</v>
      </c>
      <c r="L79" s="274" t="s">
        <v>26</v>
      </c>
      <c r="M79" s="277">
        <f>I79-K79</f>
        <v>0</v>
      </c>
      <c r="N79" s="259"/>
      <c r="O79" s="278"/>
      <c r="P79" s="275">
        <f>X78</f>
        <v>0</v>
      </c>
      <c r="Q79" s="274" t="s">
        <v>1</v>
      </c>
      <c r="R79" s="276">
        <v>0.1</v>
      </c>
      <c r="S79" s="274" t="s">
        <v>26</v>
      </c>
      <c r="T79" s="275">
        <f>P79*R79</f>
        <v>0</v>
      </c>
      <c r="U79" s="274" t="s">
        <v>27</v>
      </c>
      <c r="V79" s="275">
        <v>0</v>
      </c>
      <c r="W79" s="274" t="s">
        <v>26</v>
      </c>
      <c r="X79" s="277">
        <f>T79-V79</f>
        <v>0</v>
      </c>
      <c r="Y79" s="52"/>
      <c r="Z79" s="279">
        <f t="shared" si="49"/>
        <v>0</v>
      </c>
      <c r="AA79" s="204"/>
      <c r="AB79" s="302"/>
      <c r="AC79" s="22"/>
      <c r="AD79" s="22"/>
      <c r="AE79" s="22"/>
      <c r="AF79" s="22"/>
      <c r="AG79" s="22"/>
      <c r="AH79" s="22"/>
      <c r="AI79" s="22"/>
      <c r="AJ79" s="22"/>
    </row>
    <row r="80" spans="1:39" ht="23.25" customHeight="1" thickTop="1" thickBot="1" x14ac:dyDescent="0.45">
      <c r="A80" s="280" t="s">
        <v>34</v>
      </c>
      <c r="B80" s="321"/>
      <c r="C80" s="360"/>
      <c r="D80" s="360"/>
      <c r="E80" s="360"/>
      <c r="F80" s="360"/>
      <c r="G80" s="360"/>
      <c r="H80" s="360"/>
      <c r="I80" s="361">
        <f>SUM(I78:I79)</f>
        <v>0</v>
      </c>
      <c r="J80" s="360" t="s">
        <v>27</v>
      </c>
      <c r="K80" s="361">
        <f>SUM(K78:K79)</f>
        <v>0</v>
      </c>
      <c r="L80" s="281" t="s">
        <v>26</v>
      </c>
      <c r="M80" s="283">
        <f>SUM(M78:M79)</f>
        <v>0</v>
      </c>
      <c r="O80" s="284"/>
      <c r="P80" s="285"/>
      <c r="Q80" s="285"/>
      <c r="R80" s="285"/>
      <c r="S80" s="285"/>
      <c r="T80" s="282">
        <f>SUM(T78:T79)</f>
        <v>0</v>
      </c>
      <c r="U80" s="281" t="s">
        <v>27</v>
      </c>
      <c r="V80" s="282">
        <f>SUM(V78:V79)</f>
        <v>0</v>
      </c>
      <c r="W80" s="281" t="s">
        <v>26</v>
      </c>
      <c r="X80" s="283">
        <f>SUM(X78:X79)</f>
        <v>0</v>
      </c>
      <c r="Y80" s="52"/>
      <c r="Z80" s="286">
        <f>SUM(Z78:Z79)</f>
        <v>0</v>
      </c>
      <c r="AA80" s="303"/>
      <c r="AB80" s="302"/>
      <c r="AC80" s="22"/>
      <c r="AD80" s="22"/>
      <c r="AE80" s="22"/>
      <c r="AF80" s="22"/>
      <c r="AG80" s="22"/>
      <c r="AH80" s="22"/>
      <c r="AI80" s="22"/>
      <c r="AJ80" s="22"/>
    </row>
    <row r="81" spans="1:39" ht="25.5" customHeight="1" x14ac:dyDescent="0.25">
      <c r="A81" s="14"/>
      <c r="B81" s="14"/>
      <c r="C81" s="362"/>
      <c r="D81" s="362"/>
      <c r="E81" s="362"/>
      <c r="F81" s="362"/>
      <c r="G81" s="362"/>
      <c r="H81" s="362"/>
      <c r="I81" s="362"/>
      <c r="J81" s="362"/>
      <c r="K81" s="363" t="s">
        <v>170</v>
      </c>
      <c r="L81" s="14"/>
      <c r="M81" s="14"/>
      <c r="N81" s="34"/>
      <c r="Y81" s="52"/>
      <c r="Z81" s="204"/>
      <c r="AA81" s="204"/>
      <c r="AB81" s="302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</row>
    <row r="82" spans="1:39" ht="18.7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287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9" ht="30" customHeight="1" x14ac:dyDescent="0.25">
      <c r="A83" s="14"/>
      <c r="B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287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9" ht="14.2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287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9" ht="14.2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287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9" ht="14.25" customHeight="1" x14ac:dyDescent="0.25">
      <c r="A86" s="14"/>
      <c r="B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87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9" ht="14.2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287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9" ht="14.2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287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9" ht="14.2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287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9" ht="14.2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287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9" ht="18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287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9" ht="14.2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287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9" ht="14.2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287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</row>
    <row r="94" spans="1:39" ht="14.2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287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</row>
    <row r="95" spans="1:39" ht="14.2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287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</row>
    <row r="96" spans="1:39" ht="14.2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287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</row>
    <row r="97" spans="1:39" ht="14.2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287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</row>
    <row r="98" spans="1:39" ht="14.2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287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</row>
    <row r="99" spans="1:39" ht="14.2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287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</row>
    <row r="100" spans="1:39" ht="14.2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287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</row>
    <row r="101" spans="1:39" ht="14.2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287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</row>
    <row r="102" spans="1:39" ht="14.2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287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</row>
    <row r="103" spans="1:39" ht="14.2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287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</row>
    <row r="104" spans="1:39" ht="14.2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287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</row>
    <row r="105" spans="1:39" ht="14.2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287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</row>
    <row r="106" spans="1:39" ht="14.2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287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</row>
    <row r="107" spans="1:39" ht="14.2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287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</row>
    <row r="108" spans="1:39" ht="14.2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287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</row>
    <row r="109" spans="1:39" ht="14.2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287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</row>
    <row r="110" spans="1:39" ht="14.2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287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</row>
    <row r="111" spans="1:39" ht="14.2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287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</row>
    <row r="112" spans="1:39" ht="14.2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287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</row>
    <row r="113" spans="1:39" ht="14.2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287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</row>
    <row r="114" spans="1:39" ht="14.2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287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</row>
    <row r="115" spans="1:39" ht="14.2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287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</row>
    <row r="116" spans="1:39" ht="14.2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287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</row>
    <row r="117" spans="1:39" ht="14.2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287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</row>
    <row r="118" spans="1:39" ht="14.2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287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</row>
    <row r="119" spans="1:39" ht="14.2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287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</row>
    <row r="120" spans="1:39" ht="14.2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287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</row>
    <row r="121" spans="1:39" ht="14.2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287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</row>
    <row r="122" spans="1:39" ht="14.2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287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</row>
    <row r="123" spans="1:39" ht="14.2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287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</row>
    <row r="124" spans="1:39" ht="14.2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287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</row>
    <row r="125" spans="1:39" ht="14.2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287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</row>
    <row r="126" spans="1:39" ht="14.2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287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</row>
    <row r="127" spans="1:39" ht="14.2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287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</row>
    <row r="128" spans="1:39" ht="14.2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287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</row>
    <row r="129" spans="1:39" ht="14.2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287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</row>
    <row r="130" spans="1:39" ht="14.2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287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</row>
    <row r="131" spans="1:39" ht="14.2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287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</row>
    <row r="132" spans="1:39" ht="14.2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287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</row>
    <row r="133" spans="1:39" ht="14.2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287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</row>
    <row r="134" spans="1:39" ht="14.2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287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</row>
    <row r="135" spans="1:39" ht="14.2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287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</row>
    <row r="136" spans="1:39" ht="14.2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287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</row>
    <row r="137" spans="1:39" ht="14.2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287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</row>
    <row r="138" spans="1:39" ht="14.2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287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</row>
    <row r="139" spans="1:39" ht="14.2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287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</row>
    <row r="140" spans="1:39" ht="14.2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287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</row>
    <row r="141" spans="1:39" ht="14.2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287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</row>
    <row r="142" spans="1:39" ht="14.2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287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</row>
    <row r="143" spans="1:39" ht="14.2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287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</row>
    <row r="144" spans="1:39" ht="14.2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287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</row>
    <row r="145" spans="1:39" ht="14.2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287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</row>
    <row r="146" spans="1:39" ht="14.2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287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</row>
    <row r="147" spans="1:39" ht="14.2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287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</row>
    <row r="148" spans="1:39" ht="14.2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287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</row>
    <row r="149" spans="1:39" ht="14.2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287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</row>
    <row r="150" spans="1:39" ht="14.2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287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</row>
    <row r="151" spans="1:39" ht="14.2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287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</row>
    <row r="152" spans="1:39" ht="14.2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287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</row>
    <row r="153" spans="1:39" ht="14.2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287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</row>
    <row r="154" spans="1:39" ht="14.2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287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</row>
    <row r="155" spans="1:39" ht="14.2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287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</row>
    <row r="156" spans="1:39" ht="14.2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287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</row>
    <row r="157" spans="1:39" ht="14.2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287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</row>
    <row r="158" spans="1:39" ht="14.2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287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</row>
    <row r="159" spans="1:39" ht="14.2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287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</row>
    <row r="160" spans="1:39" ht="14.2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287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</row>
    <row r="161" spans="1:39" ht="14.2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287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</row>
    <row r="162" spans="1:39" ht="14.2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287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</row>
    <row r="163" spans="1:39" ht="14.2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287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</row>
    <row r="164" spans="1:39" ht="14.2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287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</row>
    <row r="165" spans="1:39" ht="14.2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287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</row>
    <row r="166" spans="1:39" ht="14.2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287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</row>
    <row r="167" spans="1:39" ht="14.2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287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</row>
    <row r="168" spans="1:39" ht="14.2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287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</row>
    <row r="169" spans="1:39" ht="14.2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287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</row>
    <row r="170" spans="1:39" ht="14.2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287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</row>
    <row r="171" spans="1:39" ht="14.2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287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</row>
    <row r="172" spans="1:39" ht="14.2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287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</row>
    <row r="173" spans="1:39" ht="14.2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287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</row>
    <row r="174" spans="1:39" ht="14.2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287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</row>
    <row r="175" spans="1:39" ht="14.2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287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</row>
    <row r="176" spans="1:39" ht="14.2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287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</row>
    <row r="177" spans="1:39" ht="14.2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287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</row>
    <row r="178" spans="1:39" ht="14.2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287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</row>
    <row r="179" spans="1:39" ht="14.2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287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</row>
    <row r="180" spans="1:39" ht="14.2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287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</row>
    <row r="181" spans="1:39" ht="14.2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287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</row>
    <row r="182" spans="1:39" ht="14.2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287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</row>
    <row r="183" spans="1:39" ht="14.2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287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</row>
    <row r="184" spans="1:39" ht="14.2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287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</row>
    <row r="185" spans="1:39" ht="14.2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287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</row>
    <row r="186" spans="1:39" ht="14.2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287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</row>
    <row r="187" spans="1:39" ht="14.2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287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</row>
    <row r="188" spans="1:39" ht="14.2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287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</row>
    <row r="189" spans="1:39" ht="14.2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287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</row>
    <row r="190" spans="1:39" ht="14.2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287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</row>
    <row r="191" spans="1:39" ht="14.2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287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</row>
    <row r="192" spans="1:39" ht="14.2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287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</row>
    <row r="193" spans="1:39" ht="14.2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287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</row>
    <row r="194" spans="1:39" ht="14.2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287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</row>
    <row r="195" spans="1:39" ht="14.2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287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</row>
    <row r="196" spans="1:39" ht="14.2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287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</row>
    <row r="197" spans="1:39" ht="14.2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287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</row>
    <row r="198" spans="1:39" ht="14.2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287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</row>
    <row r="199" spans="1:39" ht="14.2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287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</row>
    <row r="200" spans="1:39" ht="14.2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287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</row>
    <row r="201" spans="1:39" ht="14.2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287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</row>
    <row r="202" spans="1:39" ht="14.2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287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</row>
    <row r="203" spans="1:39" ht="14.2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287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</row>
    <row r="204" spans="1:39" ht="14.2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287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</row>
    <row r="205" spans="1:39" ht="14.2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287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</row>
    <row r="206" spans="1:39" ht="14.2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287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</row>
    <row r="207" spans="1:39" ht="14.2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287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</row>
    <row r="208" spans="1:39" ht="14.2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287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</row>
    <row r="209" spans="1:39" ht="14.2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287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</row>
    <row r="210" spans="1:39" ht="14.2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287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</row>
    <row r="211" spans="1:39" ht="14.2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287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</row>
    <row r="212" spans="1:39" ht="14.2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287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</row>
    <row r="213" spans="1:39" ht="14.2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287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</row>
    <row r="214" spans="1:39" ht="14.2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287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</row>
    <row r="215" spans="1:39" ht="14.2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287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</row>
    <row r="216" spans="1:39" ht="14.2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287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</row>
    <row r="217" spans="1:39" ht="14.2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287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</row>
    <row r="218" spans="1:39" ht="14.2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287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</row>
    <row r="219" spans="1:39" ht="14.2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287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</row>
    <row r="220" spans="1:39" ht="14.2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287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</row>
    <row r="221" spans="1:39" ht="14.2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287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</row>
    <row r="222" spans="1:39" ht="14.2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287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</row>
    <row r="223" spans="1:39" ht="14.2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287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</row>
    <row r="224" spans="1:39" ht="14.2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287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</row>
    <row r="225" spans="1:39" ht="14.2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287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</row>
    <row r="226" spans="1:39" ht="14.2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287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</row>
    <row r="227" spans="1:39" ht="14.2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287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</row>
    <row r="228" spans="1:39" ht="14.2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287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</row>
    <row r="229" spans="1:39" ht="14.2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287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</row>
    <row r="230" spans="1:39" ht="14.2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287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</row>
    <row r="231" spans="1:39" ht="14.2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287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</row>
    <row r="232" spans="1:39" ht="14.2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287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</row>
    <row r="233" spans="1:39" ht="14.2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287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</row>
    <row r="234" spans="1:39" ht="14.2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287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</row>
    <row r="235" spans="1:39" ht="14.2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287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</row>
    <row r="236" spans="1:39" ht="14.2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287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</row>
    <row r="237" spans="1:39" ht="14.2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287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</row>
    <row r="238" spans="1:39" ht="14.2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287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</row>
    <row r="239" spans="1:39" ht="14.2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287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</row>
    <row r="240" spans="1:39" ht="14.2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287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</row>
    <row r="241" spans="1:39" ht="14.2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287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</row>
    <row r="242" spans="1:39" ht="14.2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287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</row>
    <row r="243" spans="1:39" ht="14.2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287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</row>
    <row r="244" spans="1:39" ht="14.2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287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</row>
    <row r="245" spans="1:39" ht="14.2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287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</row>
    <row r="246" spans="1:39" ht="14.2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287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</row>
    <row r="247" spans="1:39" ht="14.2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287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</row>
    <row r="248" spans="1:39" ht="14.2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287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</row>
    <row r="249" spans="1:39" ht="14.2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287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</row>
    <row r="250" spans="1:39" ht="14.2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287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</row>
    <row r="251" spans="1:39" ht="14.2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287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</row>
    <row r="252" spans="1:39" ht="14.2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287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</row>
    <row r="253" spans="1:39" ht="14.2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287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</row>
    <row r="254" spans="1:39" ht="14.2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287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</row>
    <row r="255" spans="1:39" ht="14.2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287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</row>
    <row r="256" spans="1:39" ht="14.2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287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</row>
    <row r="257" spans="1:39" ht="14.2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287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</row>
    <row r="258" spans="1:39" ht="14.2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287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</row>
    <row r="259" spans="1:39" ht="14.2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287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</row>
    <row r="260" spans="1:39" ht="14.2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287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</row>
    <row r="261" spans="1:39" ht="14.2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287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</row>
    <row r="262" spans="1:39" ht="14.2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287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</row>
    <row r="263" spans="1:39" ht="14.2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287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</row>
    <row r="264" spans="1:39" ht="14.2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287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</row>
    <row r="265" spans="1:39" ht="14.2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287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</row>
    <row r="266" spans="1:39" ht="14.2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287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</row>
    <row r="267" spans="1:39" ht="14.2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287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</row>
    <row r="268" spans="1:39" ht="14.2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287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</row>
    <row r="269" spans="1:39" ht="14.2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287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</row>
    <row r="270" spans="1:39" ht="14.2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287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</row>
    <row r="271" spans="1:39" ht="14.2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287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</row>
    <row r="272" spans="1:39" ht="14.2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287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</row>
    <row r="273" spans="1:39" ht="14.2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287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</row>
    <row r="274" spans="1:39" ht="14.2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287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</row>
    <row r="275" spans="1:39" ht="14.2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287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</row>
    <row r="276" spans="1:39" ht="14.2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287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</row>
    <row r="277" spans="1:39" ht="14.2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287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</row>
    <row r="278" spans="1:39" ht="14.2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287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</row>
    <row r="279" spans="1:39" ht="14.2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287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</row>
    <row r="280" spans="1:39" ht="14.2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287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</row>
    <row r="281" spans="1:39" ht="14.2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287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</row>
    <row r="282" spans="1:39" ht="14.2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287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</row>
    <row r="283" spans="1:39" ht="14.2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287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</row>
    <row r="284" spans="1:39" ht="14.2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287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</row>
    <row r="285" spans="1:39" ht="14.2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287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</row>
    <row r="286" spans="1:39" ht="14.2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287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</row>
    <row r="287" spans="1:39" ht="14.2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287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</row>
    <row r="288" spans="1:39" ht="14.2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287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</row>
    <row r="289" spans="1:39" ht="14.2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287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</row>
    <row r="290" spans="1:39" ht="14.2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287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</row>
    <row r="291" spans="1:39" ht="14.2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287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</row>
    <row r="292" spans="1:39" ht="14.2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287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</row>
    <row r="293" spans="1:39" ht="14.2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287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</row>
    <row r="294" spans="1:39" ht="14.2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287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</row>
    <row r="295" spans="1:39" ht="14.2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287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</row>
    <row r="296" spans="1:39" ht="14.2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287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</row>
    <row r="297" spans="1:39" ht="14.2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287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</row>
    <row r="298" spans="1:39" ht="14.2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287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</row>
    <row r="299" spans="1:39" ht="14.2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287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</row>
    <row r="300" spans="1:39" ht="14.2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287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</row>
    <row r="301" spans="1:39" ht="14.2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287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</row>
    <row r="302" spans="1:39" ht="14.2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287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</row>
    <row r="303" spans="1:39" ht="14.2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287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</row>
    <row r="304" spans="1:39" ht="14.2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287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</row>
    <row r="305" spans="1:39" ht="14.2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287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</row>
    <row r="306" spans="1:39" ht="14.2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287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</row>
    <row r="307" spans="1:39" ht="14.2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287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</row>
    <row r="308" spans="1:39" ht="14.2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287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</row>
    <row r="309" spans="1:39" ht="14.2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287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</row>
    <row r="310" spans="1:39" ht="14.2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287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</row>
    <row r="311" spans="1:39" ht="14.2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287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</row>
    <row r="312" spans="1:39" ht="14.2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287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</row>
    <row r="313" spans="1:39" ht="14.2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287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</row>
    <row r="314" spans="1:39" ht="14.2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287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</row>
    <row r="315" spans="1:39" ht="14.2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287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</row>
    <row r="316" spans="1:39" ht="14.2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287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</row>
    <row r="317" spans="1:39" ht="14.2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287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</row>
    <row r="318" spans="1:39" ht="14.2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287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</row>
    <row r="319" spans="1:39" ht="14.2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287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</row>
    <row r="320" spans="1:39" ht="14.2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287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</row>
    <row r="321" spans="1:39" ht="14.2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287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</row>
    <row r="322" spans="1:39" ht="14.2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287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</row>
    <row r="323" spans="1:39" ht="14.2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287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</row>
    <row r="324" spans="1:39" ht="14.2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287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</row>
    <row r="325" spans="1:39" ht="14.2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287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</row>
    <row r="326" spans="1:39" ht="14.2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287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</row>
    <row r="327" spans="1:39" ht="14.2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287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</row>
    <row r="328" spans="1:39" ht="14.2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287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</row>
    <row r="329" spans="1:39" ht="14.2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287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</row>
    <row r="330" spans="1:39" ht="14.2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287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</row>
    <row r="331" spans="1:39" ht="14.2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287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</row>
    <row r="332" spans="1:39" ht="14.2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287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</row>
    <row r="333" spans="1:39" ht="14.2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287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</row>
    <row r="334" spans="1:39" ht="14.2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287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</row>
    <row r="335" spans="1:39" ht="14.2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287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</row>
    <row r="336" spans="1:39" ht="14.2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287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</row>
    <row r="337" spans="1:39" ht="14.2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287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</row>
    <row r="338" spans="1:39" ht="14.2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287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</row>
    <row r="339" spans="1:39" ht="14.2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287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</row>
    <row r="340" spans="1:39" ht="14.2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287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</row>
    <row r="341" spans="1:39" ht="14.2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287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</row>
    <row r="342" spans="1:39" ht="14.2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287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</row>
    <row r="343" spans="1:39" ht="14.2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287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</row>
    <row r="344" spans="1:39" ht="14.2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287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</row>
    <row r="345" spans="1:39" ht="14.2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287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</row>
    <row r="346" spans="1:39" ht="14.2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287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</row>
    <row r="347" spans="1:39" ht="14.2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287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</row>
    <row r="348" spans="1:39" ht="14.2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287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</row>
    <row r="349" spans="1:39" ht="14.2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287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</row>
    <row r="350" spans="1:39" ht="14.2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287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</row>
    <row r="351" spans="1:39" ht="14.2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287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</row>
    <row r="352" spans="1:39" ht="14.2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287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</row>
    <row r="353" spans="1:39" ht="14.2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287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</row>
    <row r="354" spans="1:39" ht="14.2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287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</row>
    <row r="355" spans="1:39" ht="14.2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287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</row>
    <row r="356" spans="1:39" ht="14.2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287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</row>
    <row r="357" spans="1:39" ht="14.2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287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</row>
    <row r="358" spans="1:39" ht="14.2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287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</row>
    <row r="359" spans="1:39" ht="14.2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287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</row>
    <row r="360" spans="1:39" ht="14.2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287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</row>
    <row r="361" spans="1:39" ht="14.2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287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</row>
    <row r="362" spans="1:39" ht="14.2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287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</row>
    <row r="363" spans="1:39" ht="14.2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287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</row>
    <row r="364" spans="1:39" ht="14.2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287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</row>
    <row r="365" spans="1:39" ht="14.2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287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</row>
    <row r="366" spans="1:39" ht="14.2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287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</row>
    <row r="367" spans="1:39" ht="14.2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287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</row>
    <row r="368" spans="1:39" ht="14.2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287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</row>
    <row r="369" spans="1:39" ht="14.2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287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</row>
    <row r="370" spans="1:39" ht="14.2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287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</row>
    <row r="371" spans="1:39" ht="14.2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287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</row>
    <row r="372" spans="1:39" ht="14.2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287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</row>
    <row r="373" spans="1:39" ht="14.2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287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</row>
    <row r="374" spans="1:39" ht="14.2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287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</row>
    <row r="375" spans="1:39" ht="14.2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287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</row>
    <row r="376" spans="1:39" ht="14.2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287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</row>
    <row r="377" spans="1:39" ht="14.2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287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</row>
    <row r="378" spans="1:39" ht="14.2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287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</row>
    <row r="379" spans="1:39" ht="14.2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287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</row>
    <row r="380" spans="1:39" ht="14.2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287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</row>
    <row r="381" spans="1:39" ht="14.2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287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</row>
    <row r="382" spans="1:39" ht="14.2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287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</row>
    <row r="383" spans="1:39" ht="14.2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287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</row>
    <row r="384" spans="1:39" ht="14.2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287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</row>
    <row r="385" spans="1:39" ht="14.2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287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</row>
    <row r="386" spans="1:39" ht="14.2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287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</row>
    <row r="387" spans="1:39" ht="14.2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287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</row>
    <row r="388" spans="1:39" ht="14.2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287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</row>
    <row r="389" spans="1:39" ht="14.2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287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</row>
    <row r="390" spans="1:39" ht="14.2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287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</row>
    <row r="391" spans="1:39" ht="14.2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287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</row>
    <row r="392" spans="1:39" ht="14.2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287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</row>
    <row r="393" spans="1:39" ht="14.2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287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</row>
    <row r="394" spans="1:39" ht="14.2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287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</row>
    <row r="395" spans="1:39" ht="14.2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287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</row>
    <row r="396" spans="1:39" ht="14.2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287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</row>
    <row r="397" spans="1:39" ht="14.2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287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</row>
    <row r="398" spans="1:39" ht="14.2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287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</row>
    <row r="399" spans="1:39" ht="14.2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287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</row>
    <row r="400" spans="1:39" ht="14.2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287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</row>
    <row r="401" spans="1:39" ht="14.2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287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</row>
    <row r="402" spans="1:39" ht="14.2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287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</row>
    <row r="403" spans="1:39" ht="14.2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287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</row>
    <row r="404" spans="1:39" ht="14.2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287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</row>
    <row r="405" spans="1:39" ht="14.2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287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</row>
    <row r="406" spans="1:39" ht="14.2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287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</row>
    <row r="407" spans="1:39" ht="14.2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287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</row>
    <row r="408" spans="1:39" ht="14.2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287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</row>
    <row r="409" spans="1:39" ht="14.2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287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</row>
    <row r="410" spans="1:39" ht="14.2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287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</row>
    <row r="411" spans="1:39" ht="14.2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287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</row>
    <row r="412" spans="1:39" ht="14.2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287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</row>
    <row r="413" spans="1:39" ht="14.2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287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</row>
    <row r="414" spans="1:39" ht="14.2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287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</row>
    <row r="415" spans="1:39" ht="14.2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287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</row>
    <row r="416" spans="1:39" ht="14.2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287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</row>
    <row r="417" spans="1:39" ht="14.2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287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</row>
    <row r="418" spans="1:39" ht="14.2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287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</row>
    <row r="419" spans="1:39" ht="14.2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287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</row>
    <row r="420" spans="1:39" ht="14.2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287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</row>
    <row r="421" spans="1:39" ht="14.2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287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</row>
    <row r="422" spans="1:39" ht="14.2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287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</row>
    <row r="423" spans="1:39" ht="14.2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287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</row>
    <row r="424" spans="1:39" ht="14.2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287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</row>
    <row r="425" spans="1:39" ht="14.2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287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</row>
    <row r="426" spans="1:39" ht="14.2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287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</row>
    <row r="427" spans="1:39" ht="14.2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287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</row>
    <row r="428" spans="1:39" ht="14.2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287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</row>
    <row r="429" spans="1:39" ht="14.2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287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</row>
    <row r="430" spans="1:39" ht="14.2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287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</row>
    <row r="431" spans="1:39" ht="14.2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287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</row>
    <row r="432" spans="1:39" ht="14.2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287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</row>
    <row r="433" spans="1:39" ht="14.2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287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</row>
    <row r="434" spans="1:39" ht="14.2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287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</row>
    <row r="435" spans="1:39" ht="14.2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287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</row>
    <row r="436" spans="1:39" ht="14.2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287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</row>
    <row r="437" spans="1:39" ht="14.2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287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</row>
    <row r="438" spans="1:39" ht="14.2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287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</row>
    <row r="439" spans="1:39" ht="14.2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287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</row>
    <row r="440" spans="1:39" ht="14.2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287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</row>
    <row r="441" spans="1:39" ht="14.2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287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</row>
    <row r="442" spans="1:39" ht="14.2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287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</row>
    <row r="443" spans="1:39" ht="14.2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287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</row>
    <row r="444" spans="1:39" ht="14.2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287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</row>
    <row r="445" spans="1:39" ht="14.2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287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</row>
    <row r="446" spans="1:39" ht="14.2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287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</row>
    <row r="447" spans="1:39" ht="14.2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287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</row>
    <row r="448" spans="1:39" ht="14.2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287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</row>
    <row r="449" spans="1:39" ht="14.2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287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</row>
    <row r="450" spans="1:39" ht="14.2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287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</row>
    <row r="451" spans="1:39" ht="14.2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287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</row>
    <row r="452" spans="1:39" ht="14.2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287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</row>
    <row r="453" spans="1:39" ht="14.2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287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</row>
    <row r="454" spans="1:39" ht="14.2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287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</row>
    <row r="455" spans="1:39" ht="14.2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287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</row>
    <row r="456" spans="1:39" ht="14.2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287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</row>
    <row r="457" spans="1:39" ht="14.2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287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</row>
    <row r="458" spans="1:39" ht="14.2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287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</row>
    <row r="459" spans="1:39" ht="14.2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287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</row>
    <row r="460" spans="1:39" ht="14.2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287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</row>
    <row r="461" spans="1:39" ht="14.2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287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</row>
    <row r="462" spans="1:39" ht="14.2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287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</row>
    <row r="463" spans="1:39" ht="14.2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287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</row>
    <row r="464" spans="1:39" ht="14.2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287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</row>
    <row r="465" spans="1:39" ht="14.2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287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</row>
    <row r="466" spans="1:39" ht="14.2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287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</row>
    <row r="467" spans="1:39" ht="14.2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287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</row>
    <row r="468" spans="1:39" ht="14.2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287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</row>
    <row r="469" spans="1:39" ht="14.2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287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</row>
    <row r="470" spans="1:39" ht="14.2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287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</row>
    <row r="471" spans="1:39" ht="14.2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287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</row>
    <row r="472" spans="1:39" ht="14.2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287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</row>
    <row r="473" spans="1:39" ht="14.2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287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</row>
    <row r="474" spans="1:39" ht="14.2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287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</row>
    <row r="475" spans="1:39" ht="14.2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287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</row>
    <row r="476" spans="1:39" ht="14.2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287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</row>
    <row r="477" spans="1:39" ht="14.2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287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</row>
    <row r="478" spans="1:39" ht="14.2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287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</row>
    <row r="479" spans="1:39" ht="14.2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287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</row>
    <row r="480" spans="1:39" ht="14.2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287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</row>
    <row r="481" spans="1:39" ht="14.2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287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</row>
    <row r="482" spans="1:39" ht="14.2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287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</row>
    <row r="483" spans="1:39" ht="14.2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287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</row>
    <row r="484" spans="1:39" ht="14.2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287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</row>
    <row r="485" spans="1:39" ht="14.2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287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</row>
    <row r="486" spans="1:39" ht="14.2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287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</row>
    <row r="487" spans="1:39" ht="14.2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287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</row>
    <row r="488" spans="1:39" ht="14.2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287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</row>
    <row r="489" spans="1:39" ht="14.2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287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</row>
    <row r="490" spans="1:39" ht="14.2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287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</row>
    <row r="491" spans="1:39" ht="14.2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287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</row>
    <row r="492" spans="1:39" ht="14.2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287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</row>
    <row r="493" spans="1:39" ht="14.2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287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</row>
    <row r="494" spans="1:39" ht="14.2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287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</row>
    <row r="495" spans="1:39" ht="14.2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287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</row>
    <row r="496" spans="1:39" ht="14.2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287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</row>
    <row r="497" spans="1:39" ht="14.2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287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</row>
    <row r="498" spans="1:39" ht="14.2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287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</row>
    <row r="499" spans="1:39" ht="14.2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287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</row>
    <row r="500" spans="1:39" ht="14.2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287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</row>
    <row r="501" spans="1:39" ht="14.2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287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</row>
    <row r="502" spans="1:39" ht="14.2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287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</row>
    <row r="503" spans="1:39" ht="14.2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287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</row>
    <row r="504" spans="1:39" ht="14.2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287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</row>
    <row r="505" spans="1:39" ht="14.2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287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</row>
    <row r="506" spans="1:39" ht="14.2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287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</row>
    <row r="507" spans="1:39" ht="14.2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287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</row>
    <row r="508" spans="1:39" ht="14.2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287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</row>
    <row r="509" spans="1:39" ht="14.2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287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</row>
    <row r="510" spans="1:39" ht="14.2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287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</row>
    <row r="511" spans="1:39" ht="14.2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287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</row>
    <row r="512" spans="1:39" ht="14.2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287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</row>
    <row r="513" spans="1:39" ht="14.2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287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</row>
    <row r="514" spans="1:39" ht="14.2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287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</row>
    <row r="515" spans="1:39" ht="14.2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287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</row>
    <row r="516" spans="1:39" ht="14.2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287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</row>
    <row r="517" spans="1:39" ht="14.2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287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</row>
    <row r="518" spans="1:39" ht="14.2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287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</row>
    <row r="519" spans="1:39" ht="14.2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287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</row>
    <row r="520" spans="1:39" ht="14.2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287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</row>
    <row r="521" spans="1:39" ht="14.2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287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</row>
    <row r="522" spans="1:39" ht="14.2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287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</row>
    <row r="523" spans="1:39" ht="14.2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287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</row>
    <row r="524" spans="1:39" ht="14.2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287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</row>
    <row r="525" spans="1:39" ht="14.2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287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</row>
    <row r="526" spans="1:39" ht="14.2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287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</row>
    <row r="527" spans="1:39" ht="14.2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287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</row>
    <row r="528" spans="1:39" ht="14.2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287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</row>
    <row r="529" spans="1:39" ht="14.2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287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</row>
    <row r="530" spans="1:39" ht="14.2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287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</row>
    <row r="531" spans="1:39" ht="14.2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287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</row>
    <row r="532" spans="1:39" ht="14.2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287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</row>
    <row r="533" spans="1:39" ht="14.2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287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</row>
    <row r="534" spans="1:39" ht="14.2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287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</row>
    <row r="535" spans="1:39" ht="14.2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287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</row>
    <row r="536" spans="1:39" ht="14.2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287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</row>
    <row r="537" spans="1:39" ht="14.2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287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</row>
    <row r="538" spans="1:39" ht="14.2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287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</row>
    <row r="539" spans="1:39" ht="14.2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287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</row>
    <row r="540" spans="1:39" ht="14.2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287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</row>
    <row r="541" spans="1:39" ht="14.2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287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</row>
    <row r="542" spans="1:39" ht="14.2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287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</row>
    <row r="543" spans="1:39" ht="14.2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287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</row>
    <row r="544" spans="1:39" ht="14.2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287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</row>
    <row r="545" spans="1:39" ht="14.2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287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</row>
    <row r="546" spans="1:39" ht="14.2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287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</row>
    <row r="547" spans="1:39" ht="14.2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287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</row>
    <row r="548" spans="1:39" ht="14.2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287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</row>
    <row r="549" spans="1:39" ht="14.2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287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</row>
    <row r="550" spans="1:39" ht="14.2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287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</row>
    <row r="551" spans="1:39" ht="14.2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287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</row>
    <row r="552" spans="1:39" ht="14.2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287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</row>
    <row r="553" spans="1:39" ht="14.2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287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</row>
    <row r="554" spans="1:39" ht="14.2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287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</row>
    <row r="555" spans="1:39" ht="14.2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287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</row>
    <row r="556" spans="1:39" ht="14.2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287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</row>
    <row r="557" spans="1:39" ht="14.2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287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</row>
    <row r="558" spans="1:39" ht="14.2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287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</row>
    <row r="559" spans="1:39" ht="14.2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287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</row>
    <row r="560" spans="1:39" ht="14.2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287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</row>
    <row r="561" spans="1:39" ht="14.2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287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</row>
    <row r="562" spans="1:39" ht="14.2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287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</row>
    <row r="563" spans="1:39" ht="14.2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287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</row>
    <row r="564" spans="1:39" ht="14.2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287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</row>
    <row r="565" spans="1:39" ht="14.2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287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</row>
    <row r="566" spans="1:39" ht="14.2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287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</row>
    <row r="567" spans="1:39" ht="14.2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287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</row>
    <row r="568" spans="1:39" ht="14.2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287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</row>
    <row r="569" spans="1:39" ht="14.2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287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</row>
    <row r="570" spans="1:39" ht="14.2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287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</row>
    <row r="571" spans="1:39" ht="14.2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287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</row>
    <row r="572" spans="1:39" ht="14.2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287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</row>
    <row r="573" spans="1:39" ht="14.2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287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</row>
    <row r="574" spans="1:39" ht="14.2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287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</row>
    <row r="575" spans="1:39" ht="14.2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287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</row>
    <row r="576" spans="1:39" ht="14.2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287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</row>
    <row r="577" spans="1:39" ht="14.2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287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</row>
    <row r="578" spans="1:39" ht="14.2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287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</row>
    <row r="579" spans="1:39" ht="14.2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287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</row>
    <row r="580" spans="1:39" ht="14.2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287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</row>
    <row r="581" spans="1:39" ht="14.2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287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</row>
    <row r="582" spans="1:39" ht="14.2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287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</row>
    <row r="583" spans="1:39" ht="14.2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287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</row>
    <row r="584" spans="1:39" ht="14.2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287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</row>
    <row r="585" spans="1:39" ht="14.2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287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</row>
    <row r="586" spans="1:39" ht="14.2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287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</row>
    <row r="587" spans="1:39" ht="14.2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287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</row>
    <row r="588" spans="1:39" ht="14.2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287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</row>
    <row r="589" spans="1:39" ht="14.2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287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</row>
    <row r="590" spans="1:39" ht="14.2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287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</row>
    <row r="591" spans="1:39" ht="14.2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287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</row>
    <row r="592" spans="1:39" ht="14.2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287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</row>
    <row r="593" spans="1:39" ht="14.2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287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</row>
    <row r="594" spans="1:39" ht="14.2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287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</row>
    <row r="595" spans="1:39" ht="14.2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287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</row>
    <row r="596" spans="1:39" ht="14.2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287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</row>
    <row r="597" spans="1:39" ht="14.2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287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</row>
    <row r="598" spans="1:39" ht="14.2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287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</row>
    <row r="599" spans="1:39" ht="14.2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287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</row>
    <row r="600" spans="1:39" ht="14.2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287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</row>
    <row r="601" spans="1:39" ht="14.2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287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</row>
    <row r="602" spans="1:39" ht="14.2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287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</row>
    <row r="603" spans="1:39" ht="14.2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287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</row>
    <row r="604" spans="1:39" ht="14.2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287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</row>
    <row r="605" spans="1:39" ht="14.2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287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</row>
    <row r="606" spans="1:39" ht="14.2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287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</row>
    <row r="607" spans="1:39" ht="14.2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287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</row>
    <row r="608" spans="1:39" ht="14.2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287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</row>
    <row r="609" spans="1:39" ht="14.2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287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</row>
    <row r="610" spans="1:39" ht="14.2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287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</row>
    <row r="611" spans="1:39" ht="14.2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287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</row>
    <row r="612" spans="1:39" ht="14.2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287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</row>
    <row r="613" spans="1:39" ht="14.2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287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</row>
    <row r="614" spans="1:39" ht="14.2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287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</row>
    <row r="615" spans="1:39" ht="14.2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287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</row>
    <row r="616" spans="1:39" ht="14.2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287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</row>
    <row r="617" spans="1:39" ht="14.2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287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</row>
    <row r="618" spans="1:39" ht="14.2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287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</row>
    <row r="619" spans="1:39" ht="14.2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287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</row>
    <row r="620" spans="1:39" ht="14.2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287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</row>
    <row r="621" spans="1:39" ht="14.2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287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</row>
    <row r="622" spans="1:39" ht="14.2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287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</row>
    <row r="623" spans="1:39" ht="14.2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287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</row>
    <row r="624" spans="1:39" ht="14.2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287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</row>
    <row r="625" spans="1:39" ht="14.2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287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</row>
    <row r="626" spans="1:39" ht="14.2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287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</row>
    <row r="627" spans="1:39" ht="14.2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287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</row>
    <row r="628" spans="1:39" ht="14.2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287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</row>
    <row r="629" spans="1:39" ht="14.2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287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</row>
    <row r="630" spans="1:39" ht="14.2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287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</row>
    <row r="631" spans="1:39" ht="14.2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287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</row>
    <row r="632" spans="1:39" ht="14.2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287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</row>
    <row r="633" spans="1:39" ht="14.2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287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</row>
    <row r="634" spans="1:39" ht="14.2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287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</row>
    <row r="635" spans="1:39" ht="14.2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287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</row>
    <row r="636" spans="1:39" ht="14.2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287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</row>
    <row r="637" spans="1:39" ht="14.2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287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</row>
    <row r="638" spans="1:39" ht="14.2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287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</row>
    <row r="639" spans="1:39" ht="14.2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287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</row>
    <row r="640" spans="1:39" ht="14.2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287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</row>
    <row r="641" spans="1:39" ht="14.2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287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</row>
    <row r="642" spans="1:39" ht="14.2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287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</row>
    <row r="643" spans="1:39" ht="14.2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287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</row>
    <row r="644" spans="1:39" ht="14.2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287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</row>
    <row r="645" spans="1:39" ht="14.2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287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</row>
    <row r="646" spans="1:39" ht="14.2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287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</row>
    <row r="647" spans="1:39" ht="14.2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287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</row>
    <row r="648" spans="1:39" ht="14.2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287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</row>
    <row r="649" spans="1:39" ht="14.2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287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</row>
    <row r="650" spans="1:39" ht="14.2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287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</row>
    <row r="651" spans="1:39" ht="14.2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287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</row>
    <row r="652" spans="1:39" ht="14.2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287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</row>
    <row r="653" spans="1:39" ht="14.2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287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</row>
    <row r="654" spans="1:39" ht="14.2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287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</row>
    <row r="655" spans="1:39" ht="14.2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287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</row>
    <row r="656" spans="1:39" ht="14.2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287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</row>
    <row r="657" spans="1:39" ht="14.2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287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</row>
    <row r="658" spans="1:39" ht="14.2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287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</row>
    <row r="659" spans="1:39" ht="14.2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287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</row>
    <row r="660" spans="1:39" ht="14.2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287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</row>
    <row r="661" spans="1:39" ht="14.2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287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</row>
    <row r="662" spans="1:39" ht="14.2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287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</row>
    <row r="663" spans="1:39" ht="14.2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287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</row>
    <row r="664" spans="1:39" ht="14.2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287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</row>
    <row r="665" spans="1:39" ht="14.2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287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</row>
    <row r="666" spans="1:39" ht="14.2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287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</row>
    <row r="667" spans="1:39" ht="14.2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287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</row>
    <row r="668" spans="1:39" ht="14.2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287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</row>
    <row r="669" spans="1:39" ht="14.2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287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</row>
    <row r="670" spans="1:39" ht="14.2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287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</row>
    <row r="671" spans="1:39" ht="14.2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287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</row>
    <row r="672" spans="1:39" ht="14.2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287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</row>
    <row r="673" spans="1:39" ht="14.2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287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</row>
    <row r="674" spans="1:39" ht="14.2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287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</row>
    <row r="675" spans="1:39" ht="14.2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287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</row>
    <row r="676" spans="1:39" ht="14.2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287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</row>
    <row r="677" spans="1:39" ht="14.2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287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</row>
    <row r="678" spans="1:39" ht="14.2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287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</row>
    <row r="679" spans="1:39" ht="14.2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287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</row>
    <row r="680" spans="1:39" ht="14.2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287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</row>
    <row r="681" spans="1:39" ht="14.2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287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</row>
    <row r="682" spans="1:39" ht="14.2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287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</row>
    <row r="683" spans="1:39" ht="14.2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287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</row>
    <row r="684" spans="1:39" ht="14.2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287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</row>
    <row r="685" spans="1:39" ht="14.2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287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</row>
    <row r="686" spans="1:39" ht="14.2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287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</row>
    <row r="687" spans="1:39" ht="14.2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287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</row>
    <row r="688" spans="1:39" ht="14.2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287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</row>
    <row r="689" spans="1:39" ht="14.2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287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</row>
    <row r="690" spans="1:39" ht="14.2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287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</row>
    <row r="691" spans="1:39" ht="14.2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287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</row>
    <row r="692" spans="1:39" ht="14.2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287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</row>
    <row r="693" spans="1:39" ht="14.2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287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</row>
    <row r="694" spans="1:39" ht="14.2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287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</row>
    <row r="695" spans="1:39" ht="14.2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287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</row>
    <row r="696" spans="1:39" ht="14.2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287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</row>
    <row r="697" spans="1:39" ht="14.2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287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</row>
    <row r="698" spans="1:39" ht="14.2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287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</row>
    <row r="699" spans="1:39" ht="14.2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287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</row>
    <row r="700" spans="1:39" ht="14.2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287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</row>
    <row r="701" spans="1:39" ht="14.2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287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</row>
    <row r="702" spans="1:39" ht="14.2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287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</row>
    <row r="703" spans="1:39" ht="14.2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287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</row>
    <row r="704" spans="1:39" ht="14.2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287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</row>
    <row r="705" spans="1:39" ht="14.2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287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</row>
    <row r="706" spans="1:39" ht="14.2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287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</row>
    <row r="707" spans="1:39" ht="14.2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287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</row>
    <row r="708" spans="1:39" ht="14.2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287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</row>
    <row r="709" spans="1:39" ht="14.2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287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</row>
    <row r="710" spans="1:39" ht="14.2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287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</row>
    <row r="711" spans="1:39" ht="14.2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287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</row>
    <row r="712" spans="1:39" ht="14.2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287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</row>
    <row r="713" spans="1:39" ht="14.2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287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</row>
    <row r="714" spans="1:39" ht="14.2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287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</row>
    <row r="715" spans="1:39" ht="14.2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287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</row>
    <row r="716" spans="1:39" ht="14.2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287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</row>
    <row r="717" spans="1:39" ht="14.2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287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</row>
    <row r="718" spans="1:39" ht="14.2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287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</row>
    <row r="719" spans="1:39" ht="14.2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287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</row>
    <row r="720" spans="1:39" ht="14.2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287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</row>
    <row r="721" spans="1:39" ht="14.2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287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</row>
    <row r="722" spans="1:39" ht="14.2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287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</row>
    <row r="723" spans="1:39" ht="14.2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287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</row>
    <row r="724" spans="1:39" ht="14.2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287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</row>
    <row r="725" spans="1:39" ht="14.2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287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</row>
    <row r="726" spans="1:39" ht="14.2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287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</row>
    <row r="727" spans="1:39" ht="14.2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287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</row>
    <row r="728" spans="1:39" ht="14.2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287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</row>
    <row r="729" spans="1:39" ht="14.2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287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</row>
    <row r="730" spans="1:39" ht="14.2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287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</row>
    <row r="731" spans="1:39" ht="14.2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287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</row>
    <row r="732" spans="1:39" ht="14.2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287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</row>
    <row r="733" spans="1:39" ht="14.2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287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</row>
    <row r="734" spans="1:39" ht="14.2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287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</row>
    <row r="735" spans="1:39" ht="14.2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287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</row>
    <row r="736" spans="1:39" ht="14.2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287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</row>
    <row r="737" spans="1:39" ht="14.2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287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</row>
    <row r="738" spans="1:39" ht="14.2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287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</row>
    <row r="739" spans="1:39" ht="14.2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287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</row>
    <row r="740" spans="1:39" ht="14.2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287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</row>
    <row r="741" spans="1:39" ht="14.2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287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</row>
    <row r="742" spans="1:39" ht="14.2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287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</row>
    <row r="743" spans="1:39" ht="14.2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287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</row>
    <row r="744" spans="1:39" ht="14.2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287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</row>
    <row r="745" spans="1:39" ht="14.2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287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</row>
    <row r="746" spans="1:39" ht="14.2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287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</row>
    <row r="747" spans="1:39" ht="14.2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287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</row>
    <row r="748" spans="1:39" ht="14.2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287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</row>
    <row r="749" spans="1:39" ht="14.2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287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</row>
    <row r="750" spans="1:39" ht="14.2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287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</row>
    <row r="751" spans="1:39" ht="14.2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287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</row>
    <row r="752" spans="1:39" ht="14.2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287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</row>
    <row r="753" spans="1:39" ht="14.2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287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</row>
    <row r="754" spans="1:39" ht="14.2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287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</row>
    <row r="755" spans="1:39" ht="14.2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287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</row>
    <row r="756" spans="1:39" ht="14.2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287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</row>
    <row r="757" spans="1:39" ht="14.2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287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</row>
    <row r="758" spans="1:39" ht="14.2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287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</row>
    <row r="759" spans="1:39" ht="14.2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287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</row>
    <row r="760" spans="1:39" ht="14.2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287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</row>
    <row r="761" spans="1:39" ht="14.2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287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</row>
    <row r="762" spans="1:39" ht="14.2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287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</row>
    <row r="763" spans="1:39" ht="14.2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287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</row>
    <row r="764" spans="1:39" ht="14.2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287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</row>
    <row r="765" spans="1:39" ht="14.2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287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</row>
    <row r="766" spans="1:39" ht="14.2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287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</row>
    <row r="767" spans="1:39" ht="14.2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287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</row>
    <row r="768" spans="1:39" ht="14.2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287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</row>
    <row r="769" spans="1:39" ht="14.2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287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</row>
    <row r="770" spans="1:39" ht="14.2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287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</row>
    <row r="771" spans="1:39" ht="14.2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287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</row>
    <row r="772" spans="1:39" ht="14.2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287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</row>
    <row r="773" spans="1:39" ht="14.2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287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</row>
    <row r="774" spans="1:39" ht="14.2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287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</row>
    <row r="775" spans="1:39" ht="14.2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287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</row>
    <row r="776" spans="1:39" ht="14.2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287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</row>
    <row r="777" spans="1:39" ht="14.2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287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</row>
    <row r="778" spans="1:39" ht="14.2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287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</row>
    <row r="779" spans="1:39" ht="14.2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287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</row>
    <row r="780" spans="1:39" ht="14.2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287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</row>
    <row r="781" spans="1:39" ht="14.2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287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</row>
    <row r="782" spans="1:39" ht="14.2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287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</row>
    <row r="783" spans="1:39" ht="14.2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287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</row>
    <row r="784" spans="1:39" ht="14.2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287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</row>
    <row r="785" spans="1:39" ht="14.2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287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</row>
    <row r="786" spans="1:39" ht="14.2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287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</row>
    <row r="787" spans="1:39" ht="14.2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287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</row>
    <row r="788" spans="1:39" ht="14.2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287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</row>
    <row r="789" spans="1:39" ht="14.2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287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</row>
    <row r="790" spans="1:39" ht="14.2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287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</row>
    <row r="791" spans="1:39" ht="14.2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287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</row>
    <row r="792" spans="1:39" ht="14.2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287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</row>
    <row r="793" spans="1:39" ht="14.2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287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</row>
    <row r="794" spans="1:39" ht="14.2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287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</row>
    <row r="795" spans="1:39" ht="14.2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287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</row>
    <row r="796" spans="1:39" ht="14.2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287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</row>
    <row r="797" spans="1:39" ht="14.2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287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</row>
    <row r="798" spans="1:39" ht="14.2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287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</row>
    <row r="799" spans="1:39" ht="14.2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287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</row>
    <row r="800" spans="1:39" ht="14.2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287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</row>
    <row r="801" spans="1:39" ht="14.2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287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</row>
    <row r="802" spans="1:39" ht="14.2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287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</row>
    <row r="803" spans="1:39" ht="14.2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287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</row>
    <row r="804" spans="1:39" ht="14.2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287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</row>
    <row r="805" spans="1:39" ht="14.2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287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</row>
    <row r="806" spans="1:39" ht="14.2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287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</row>
    <row r="807" spans="1:39" ht="14.2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287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</row>
    <row r="808" spans="1:39" ht="14.2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287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</row>
    <row r="809" spans="1:39" ht="14.2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287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</row>
    <row r="810" spans="1:39" ht="14.2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287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</row>
    <row r="811" spans="1:39" ht="14.2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287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</row>
    <row r="812" spans="1:39" ht="14.2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287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</row>
    <row r="813" spans="1:39" ht="14.2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287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</row>
    <row r="814" spans="1:39" ht="14.2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287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</row>
    <row r="815" spans="1:39" ht="14.2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287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</row>
    <row r="816" spans="1:39" ht="14.2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287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</row>
    <row r="817" spans="1:39" ht="14.2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287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</row>
    <row r="818" spans="1:39" ht="14.2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287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</row>
    <row r="819" spans="1:39" ht="14.2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287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</row>
    <row r="820" spans="1:39" ht="14.2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287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</row>
    <row r="821" spans="1:39" ht="14.2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287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</row>
    <row r="822" spans="1:39" ht="14.2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287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</row>
    <row r="823" spans="1:39" ht="14.2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287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</row>
    <row r="824" spans="1:39" ht="14.2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287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</row>
    <row r="825" spans="1:39" ht="14.2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287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</row>
    <row r="826" spans="1:39" ht="14.2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287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</row>
    <row r="827" spans="1:39" ht="14.2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287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</row>
    <row r="828" spans="1:39" ht="14.2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287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</row>
    <row r="829" spans="1:39" ht="14.2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287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</row>
    <row r="830" spans="1:39" ht="14.2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287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</row>
    <row r="831" spans="1:39" ht="14.2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287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</row>
    <row r="832" spans="1:39" ht="14.2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287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</row>
    <row r="833" spans="1:39" ht="14.2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287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</row>
    <row r="834" spans="1:39" ht="14.2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287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</row>
    <row r="835" spans="1:39" ht="14.2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287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</row>
    <row r="836" spans="1:39" ht="14.2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287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</row>
    <row r="837" spans="1:39" ht="14.2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287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</row>
    <row r="838" spans="1:39" ht="14.2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287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</row>
    <row r="839" spans="1:39" ht="14.2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287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</row>
    <row r="840" spans="1:39" ht="14.2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287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</row>
    <row r="841" spans="1:39" ht="14.2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287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</row>
    <row r="842" spans="1:39" ht="14.2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287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</row>
    <row r="843" spans="1:39" ht="14.2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287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</row>
    <row r="844" spans="1:39" ht="14.2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287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</row>
    <row r="845" spans="1:39" ht="14.2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287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</row>
    <row r="846" spans="1:39" ht="14.2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287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</row>
    <row r="847" spans="1:39" ht="14.2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287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</row>
    <row r="848" spans="1:39" ht="14.2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287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</row>
    <row r="849" spans="1:39" ht="14.2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287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</row>
    <row r="850" spans="1:39" ht="14.2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287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</row>
    <row r="851" spans="1:39" ht="14.2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287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</row>
    <row r="852" spans="1:39" ht="14.2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287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</row>
    <row r="853" spans="1:39" ht="14.2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287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</row>
    <row r="854" spans="1:39" ht="14.2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287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</row>
    <row r="855" spans="1:39" ht="14.2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287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</row>
    <row r="856" spans="1:39" ht="14.2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287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</row>
    <row r="857" spans="1:39" ht="14.2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287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</row>
    <row r="858" spans="1:39" ht="14.2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287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</row>
    <row r="859" spans="1:39" ht="14.2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287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</row>
    <row r="860" spans="1:39" ht="14.2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287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</row>
    <row r="861" spans="1:39" ht="14.2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287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</row>
    <row r="862" spans="1:39" ht="14.2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287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</row>
    <row r="863" spans="1:39" ht="14.2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287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</row>
    <row r="864" spans="1:39" ht="14.2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287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</row>
    <row r="865" spans="1:39" ht="14.2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287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</row>
    <row r="866" spans="1:39" ht="14.2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287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</row>
    <row r="867" spans="1:39" ht="14.2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287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</row>
    <row r="868" spans="1:39" ht="14.2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287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</row>
    <row r="869" spans="1:39" ht="14.2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287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</row>
    <row r="870" spans="1:39" ht="14.2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287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</row>
    <row r="871" spans="1:39" ht="14.2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287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</row>
    <row r="872" spans="1:39" ht="14.2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287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</row>
    <row r="873" spans="1:39" ht="14.2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287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</row>
    <row r="874" spans="1:39" ht="14.2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287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</row>
    <row r="875" spans="1:39" ht="14.2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287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</row>
    <row r="876" spans="1:39" ht="14.2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287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</row>
    <row r="877" spans="1:39" ht="14.2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287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</row>
    <row r="878" spans="1:39" ht="14.2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287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</row>
    <row r="879" spans="1:39" ht="14.2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287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</row>
    <row r="880" spans="1:39" ht="14.2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287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</row>
    <row r="881" spans="1:39" ht="14.2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287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</row>
    <row r="882" spans="1:39" ht="14.2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287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</row>
    <row r="883" spans="1:39" ht="14.2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287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</row>
    <row r="884" spans="1:39" ht="14.2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287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</row>
    <row r="885" spans="1:39" ht="14.2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287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</row>
    <row r="886" spans="1:39" ht="14.2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287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</row>
    <row r="887" spans="1:39" ht="14.2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287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</row>
    <row r="888" spans="1:39" ht="14.2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287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</row>
    <row r="889" spans="1:39" ht="14.2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287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</row>
    <row r="890" spans="1:39" ht="14.2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287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</row>
    <row r="891" spans="1:39" ht="14.2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287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</row>
    <row r="892" spans="1:39" ht="14.2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287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</row>
    <row r="893" spans="1:39" ht="14.2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287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</row>
    <row r="894" spans="1:39" ht="14.2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287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</row>
    <row r="895" spans="1:39" ht="14.2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287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</row>
    <row r="896" spans="1:39" ht="14.2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287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</row>
    <row r="897" spans="1:39" ht="14.2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287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</row>
    <row r="898" spans="1:39" ht="14.2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287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</row>
    <row r="899" spans="1:39" ht="14.2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287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</row>
    <row r="900" spans="1:39" ht="14.2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287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</row>
    <row r="901" spans="1:39" ht="14.2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287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</row>
    <row r="902" spans="1:39" ht="14.2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287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</row>
    <row r="903" spans="1:39" ht="14.2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287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</row>
    <row r="904" spans="1:39" ht="14.2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287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</row>
    <row r="905" spans="1:39" ht="14.2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287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</row>
    <row r="906" spans="1:39" ht="14.2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287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</row>
    <row r="907" spans="1:39" ht="14.2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287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</row>
    <row r="908" spans="1:39" ht="14.2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287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</row>
    <row r="909" spans="1:39" ht="14.2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287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</row>
    <row r="910" spans="1:39" ht="14.2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287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</row>
    <row r="911" spans="1:39" ht="14.2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287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</row>
    <row r="912" spans="1:39" ht="14.2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287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</row>
    <row r="913" spans="1:39" ht="14.2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287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</row>
    <row r="914" spans="1:39" ht="14.2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287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</row>
    <row r="915" spans="1:39" ht="14.2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287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</row>
    <row r="916" spans="1:39" ht="14.2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287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</row>
    <row r="917" spans="1:39" ht="14.2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287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</row>
    <row r="918" spans="1:39" ht="14.2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287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</row>
    <row r="919" spans="1:39" ht="14.2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287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</row>
    <row r="920" spans="1:39" ht="14.2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287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</row>
    <row r="921" spans="1:39" ht="14.2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287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</row>
    <row r="922" spans="1:39" ht="14.2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287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</row>
    <row r="923" spans="1:39" ht="14.2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287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</row>
    <row r="924" spans="1:39" ht="14.2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287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</row>
    <row r="925" spans="1:39" ht="14.2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287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</row>
    <row r="926" spans="1:39" ht="14.2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287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</row>
    <row r="927" spans="1:39" ht="14.2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287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</row>
    <row r="928" spans="1:39" ht="14.2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287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</row>
    <row r="929" spans="1:39" ht="14.2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287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</row>
    <row r="930" spans="1:39" ht="14.2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287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</row>
    <row r="931" spans="1:39" ht="14.2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287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</row>
    <row r="932" spans="1:39" ht="14.2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287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</row>
    <row r="933" spans="1:39" ht="14.2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287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</row>
    <row r="934" spans="1:39" ht="14.2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287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</row>
    <row r="935" spans="1:39" ht="14.2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287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</row>
    <row r="936" spans="1:39" ht="14.2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287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</row>
    <row r="937" spans="1:39" ht="14.2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287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</row>
    <row r="938" spans="1:39" ht="14.2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287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</row>
    <row r="939" spans="1:39" ht="14.2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287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</row>
    <row r="940" spans="1:39" ht="14.2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287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</row>
    <row r="941" spans="1:39" ht="14.2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287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</row>
    <row r="942" spans="1:39" ht="14.2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287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</row>
    <row r="943" spans="1:39" ht="14.2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287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</row>
    <row r="944" spans="1:39" ht="14.2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287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</row>
    <row r="945" spans="1:39" ht="14.2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287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</row>
    <row r="946" spans="1:39" ht="14.2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287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</row>
    <row r="947" spans="1:39" ht="14.2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287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</row>
    <row r="948" spans="1:39" ht="14.2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287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</row>
    <row r="949" spans="1:39" ht="14.2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287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</row>
    <row r="950" spans="1:39" ht="14.2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287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</row>
    <row r="951" spans="1:39" ht="14.2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287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</row>
    <row r="952" spans="1:39" ht="14.2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287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</row>
    <row r="953" spans="1:39" ht="14.2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287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</row>
    <row r="954" spans="1:39" ht="14.2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287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</row>
    <row r="955" spans="1:39" ht="14.2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287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</row>
    <row r="956" spans="1:39" ht="14.2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287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</row>
    <row r="957" spans="1:39" ht="14.2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287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</row>
    <row r="958" spans="1:39" ht="14.2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287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</row>
    <row r="959" spans="1:39" ht="14.2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287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</row>
    <row r="960" spans="1:39" ht="14.2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287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</row>
    <row r="961" spans="1:39" ht="14.2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287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</row>
    <row r="962" spans="1:39" ht="14.2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287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</row>
    <row r="963" spans="1:39" ht="14.2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287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</row>
    <row r="964" spans="1:39" ht="14.2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287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</row>
    <row r="965" spans="1:39" ht="14.2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287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</row>
    <row r="966" spans="1:39" ht="14.2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287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</row>
    <row r="967" spans="1:39" ht="14.2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287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</row>
    <row r="968" spans="1:39" ht="14.2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287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</row>
    <row r="969" spans="1:39" ht="14.2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287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</row>
    <row r="970" spans="1:39" ht="14.2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287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</row>
    <row r="971" spans="1:39" ht="14.2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287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</row>
    <row r="972" spans="1:39" ht="14.2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287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</row>
    <row r="973" spans="1:39" ht="14.2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287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</row>
    <row r="974" spans="1:39" ht="14.2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287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</row>
    <row r="975" spans="1:39" ht="14.2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287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</row>
    <row r="976" spans="1:39" ht="14.2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287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</row>
    <row r="977" spans="1:39" ht="14.2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287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</row>
    <row r="978" spans="1:39" ht="14.2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287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</row>
    <row r="979" spans="1:39" ht="14.2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287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</row>
    <row r="980" spans="1:39" ht="14.2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287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</row>
    <row r="981" spans="1:39" ht="14.2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287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</row>
    <row r="982" spans="1:39" ht="14.2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287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</row>
    <row r="983" spans="1:39" ht="14.2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287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</row>
    <row r="984" spans="1:39" ht="14.2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287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</row>
    <row r="985" spans="1:39" ht="14.2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287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</row>
    <row r="986" spans="1:39" ht="14.2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287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</row>
  </sheetData>
  <mergeCells count="96">
    <mergeCell ref="A70:B70"/>
    <mergeCell ref="A71:B71"/>
    <mergeCell ref="A72:B72"/>
    <mergeCell ref="A73:B73"/>
    <mergeCell ref="A8:A9"/>
    <mergeCell ref="Z76:Z77"/>
    <mergeCell ref="C44:E44"/>
    <mergeCell ref="A45:G45"/>
    <mergeCell ref="G47:M47"/>
    <mergeCell ref="R47:X47"/>
    <mergeCell ref="Z47:Z48"/>
    <mergeCell ref="C48:E48"/>
    <mergeCell ref="C60:E60"/>
    <mergeCell ref="C69:E69"/>
    <mergeCell ref="C70:E70"/>
    <mergeCell ref="C71:E71"/>
    <mergeCell ref="C72:E72"/>
    <mergeCell ref="C73:E73"/>
    <mergeCell ref="A74:G74"/>
    <mergeCell ref="T76:X76"/>
    <mergeCell ref="A62:B62"/>
    <mergeCell ref="R35:X35"/>
    <mergeCell ref="Z35:Z36"/>
    <mergeCell ref="C36:E36"/>
    <mergeCell ref="Z59:Z60"/>
    <mergeCell ref="Z68:Z69"/>
    <mergeCell ref="C54:E54"/>
    <mergeCell ref="C55:E55"/>
    <mergeCell ref="A57:G57"/>
    <mergeCell ref="G59:M59"/>
    <mergeCell ref="C42:E42"/>
    <mergeCell ref="C43:E43"/>
    <mergeCell ref="C56:E56"/>
    <mergeCell ref="C61:E61"/>
    <mergeCell ref="C62:E62"/>
    <mergeCell ref="C37:E37"/>
    <mergeCell ref="C38:E38"/>
    <mergeCell ref="Z11:Z12"/>
    <mergeCell ref="C12:D12"/>
    <mergeCell ref="C13:D13"/>
    <mergeCell ref="C14:D14"/>
    <mergeCell ref="R22:X22"/>
    <mergeCell ref="Z22:Z23"/>
    <mergeCell ref="C15:D15"/>
    <mergeCell ref="C16:D16"/>
    <mergeCell ref="C17:D17"/>
    <mergeCell ref="C18:D18"/>
    <mergeCell ref="C19:D19"/>
    <mergeCell ref="A20:G20"/>
    <mergeCell ref="G22:M22"/>
    <mergeCell ref="I76:M76"/>
    <mergeCell ref="P3:T3"/>
    <mergeCell ref="P4:T4"/>
    <mergeCell ref="P5:T5"/>
    <mergeCell ref="P7:R7"/>
    <mergeCell ref="C2:M6"/>
    <mergeCell ref="C7:M9"/>
    <mergeCell ref="P8:R8"/>
    <mergeCell ref="G11:M11"/>
    <mergeCell ref="O11:X11"/>
    <mergeCell ref="C30:E30"/>
    <mergeCell ref="C31:E31"/>
    <mergeCell ref="C26:E26"/>
    <mergeCell ref="C27:E27"/>
    <mergeCell ref="C28:E28"/>
    <mergeCell ref="C29:E29"/>
    <mergeCell ref="C63:E63"/>
    <mergeCell ref="C64:E64"/>
    <mergeCell ref="C65:E65"/>
    <mergeCell ref="A66:G66"/>
    <mergeCell ref="C49:E49"/>
    <mergeCell ref="C52:E52"/>
    <mergeCell ref="C53:E53"/>
    <mergeCell ref="A63:B63"/>
    <mergeCell ref="A64:B64"/>
    <mergeCell ref="A65:B65"/>
    <mergeCell ref="A61:B61"/>
    <mergeCell ref="C41:E41"/>
    <mergeCell ref="B22:B23"/>
    <mergeCell ref="C32:E32"/>
    <mergeCell ref="A33:G33"/>
    <mergeCell ref="G35:M35"/>
    <mergeCell ref="B35:B36"/>
    <mergeCell ref="C23:E23"/>
    <mergeCell ref="C24:E24"/>
    <mergeCell ref="C25:E25"/>
    <mergeCell ref="C39:E39"/>
    <mergeCell ref="C40:E40"/>
    <mergeCell ref="A5:B7"/>
    <mergeCell ref="A18:B18"/>
    <mergeCell ref="A19:B19"/>
    <mergeCell ref="A13:B13"/>
    <mergeCell ref="A14:B14"/>
    <mergeCell ref="A15:B15"/>
    <mergeCell ref="A16:B16"/>
    <mergeCell ref="A17:B17"/>
  </mergeCells>
  <conditionalFormatting sqref="A32:E32">
    <cfRule type="expression" dxfId="27" priority="19">
      <formula>$C$32=0</formula>
    </cfRule>
  </conditionalFormatting>
  <conditionalFormatting sqref="B22:B23">
    <cfRule type="expression" dxfId="26" priority="11">
      <formula>COUNTA(A24:A31)&gt;8-COUNTBLANK(B24:B31)</formula>
    </cfRule>
  </conditionalFormatting>
  <conditionalFormatting sqref="B24:B31">
    <cfRule type="expression" dxfId="25" priority="12">
      <formula>AND(A24&lt;&gt;"",B24="")</formula>
    </cfRule>
  </conditionalFormatting>
  <conditionalFormatting sqref="B37:B44">
    <cfRule type="expression" dxfId="24" priority="9">
      <formula>AND(A37&lt;&gt;"",B37="")</formula>
    </cfRule>
  </conditionalFormatting>
  <conditionalFormatting sqref="E81:K81">
    <cfRule type="expression" dxfId="23" priority="5">
      <formula>$K$80&gt;0</formula>
    </cfRule>
  </conditionalFormatting>
  <conditionalFormatting sqref="K80">
    <cfRule type="cellIs" dxfId="22" priority="4" operator="greaterThan">
      <formula>0</formula>
    </cfRule>
  </conditionalFormatting>
  <conditionalFormatting sqref="O7:O8">
    <cfRule type="expression" dxfId="21" priority="2">
      <formula>$P$3="Résidence et prix"</formula>
    </cfRule>
  </conditionalFormatting>
  <conditionalFormatting sqref="P7:R8">
    <cfRule type="expression" dxfId="19" priority="3">
      <formula>$P$3="Résidence et prix"</formula>
    </cfRule>
  </conditionalFormatting>
  <conditionalFormatting sqref="P3:T3">
    <cfRule type="containsBlanks" dxfId="18" priority="14">
      <formula>LEN(TRIM(P3))=0</formula>
    </cfRule>
    <cfRule type="cellIs" dxfId="17" priority="15" operator="equal">
      <formula>"Choose the program from the list"</formula>
    </cfRule>
  </conditionalFormatting>
  <conditionalFormatting sqref="B35:B36">
    <cfRule type="expression" dxfId="14" priority="1">
      <formula>COUNTA(A37:A44)&gt;8-COUNTBLANK(B37:B44)</formula>
    </cfRule>
  </conditionalFormatting>
  <dataValidations xWindow="546" yWindow="594" count="10">
    <dataValidation type="list" allowBlank="1" showErrorMessage="1" sqref="P3" xr:uid="{00000000-0002-0000-0100-000000000000}">
      <formula1>PROGRAMME</formula1>
    </dataValidation>
    <dataValidation type="list" allowBlank="1" showInputMessage="1" showErrorMessage="1" promptTitle="Rental Duration" prompt="Select from the drop-down list whether you want to rent the equipment by the day, weekend, week, or month." sqref="E13:E19" xr:uid="{00000000-0002-0000-0100-000001000000}">
      <formula1>UNIT_Tournage</formula1>
    </dataValidation>
    <dataValidation type="list" allowBlank="1" showInputMessage="1" showErrorMessage="1" promptTitle="Image Pos-tproduction" prompt="Select the desired room from the drop-down list, and then specify your choice of technician and the rental duration in the following columns." sqref="A24:A31" xr:uid="{00000000-0002-0000-0100-000002000000}">
      <formula1>EQUIP_PPI</formula1>
    </dataValidation>
    <dataValidation type="decimal" allowBlank="1" showInputMessage="1" showErrorMessage="1" prompt="Durée en minutes - Indiquez la durée de l'oeuvre en minutes (ex : pour 1h35, indiquez 95)" sqref="P6" xr:uid="{00000000-0002-0000-0100-000004000000}">
      <formula1>0</formula1>
      <formula2>999</formula2>
    </dataValidation>
    <dataValidation type="list" allowBlank="1" showInputMessage="1" showErrorMessage="1" promptTitle="Sound Post-production" prompt="Select the studio you want from the drop-down list, and then enter the rental duration in the following columns" sqref="A37:A44" xr:uid="{00000000-0002-0000-0100-000006000000}">
      <formula1>EQUIP_PPS</formula1>
    </dataValidation>
    <dataValidation type="list" showInputMessage="1" showErrorMessage="1" promptTitle="TECHNICIAN" prompt="- Fees are not covered by assistance programs and are calculated separately._x000a__x000a_- Discounts from assistance programs on rentals of rooms, studios, and equipment do NOT apply if you work with an external technician." sqref="B24:B31" xr:uid="{655A6BCA-299E-4692-BF15-081C65A84057}">
      <formula1>Techs_image</formula1>
    </dataValidation>
    <dataValidation type="list" allowBlank="1" showInputMessage="1" showErrorMessage="1" sqref="T6" xr:uid="{69CA0AD5-6443-4ECB-AD0A-5108B542CBCB}">
      <formula1>"Documentaire, Fiction, Expérimental, Autre"</formula1>
    </dataValidation>
    <dataValidation type="list" showInputMessage="1" showErrorMessage="1" promptTitle="TECHNICIAN" prompt="- Fees are not covered by assistance programs and are calculated separately._x000a__x000a_- Discounts from assistance programs on rentals of rooms, studios, and equipment do NOT apply if you work with an external technician." sqref="B37:B44" xr:uid="{33AAF0FA-6B6D-40A5-93F9-ADD3EEFF4EEC}">
      <formula1>Techs_son</formula1>
    </dataValidation>
    <dataValidation type="list" allowBlank="1" showInputMessage="1" showErrorMessage="1" promptTitle="Filming Equipement Rental" prompt="Select the desired equipment from the drop-down list, and then enter the rental duration in the following columns" sqref="A13:B19" xr:uid="{1F5FBE48-A0B1-46B6-ACA4-0D28D1E28A9C}">
      <formula1>EQUIP_TOURNAGE</formula1>
    </dataValidation>
    <dataValidation type="list" allowBlank="1" showInputMessage="1" showErrorMessage="1" prompt="Digital media—Select the necessary media from the drop-down list. Media are not covered by grant programs and are always the artist's responsibility." sqref="A61:B65" xr:uid="{390BA856-D9EF-4779-BE48-27513DF7D15F}">
      <formula1>Supports</formula1>
    </dataValidation>
  </dataValidations>
  <pageMargins left="0.47244094488188976" right="0.39370078740157483" top="0.43307086614173229" bottom="0.98425196850393704" header="0" footer="0"/>
  <pageSetup fitToHeight="0" orientation="portrait" r:id="rId1"/>
  <headerFooter>
    <oddFooter>&amp;LProductions Réalisations Indépendantes de Montréal (P.R.I.M.) 2180, rue Fulum, Montréal (Québec) H2K 3N9 &amp;RInfos et réservations : 514-524-2421  www.primcentre.org - info@primcentre.org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2EAB6840-E782-4646-AB39-41F913412698}">
            <xm:f>AND(Tarifs!$D$96=5,P$6="")</xm:f>
            <x14:dxf>
              <fill>
                <patternFill>
                  <bgColor rgb="FFFFFF00"/>
                </patternFill>
              </fill>
            </x14:dxf>
          </x14:cfRule>
          <xm:sqref>P6 T6</xm:sqref>
        </x14:conditionalFormatting>
        <x14:conditionalFormatting xmlns:xm="http://schemas.microsoft.com/office/excel/2006/main">
          <x14:cfRule type="expression" priority="6" id="{C8F6AFCF-EE40-460D-9195-E1DDDCA3DFF6}">
            <xm:f>Tarifs!D96=5</xm:f>
            <x14:dxf>
              <font>
                <color theme="1"/>
              </font>
            </x14:dxf>
          </x14:cfRule>
          <xm:sqref>S6</xm:sqref>
        </x14:conditionalFormatting>
        <x14:conditionalFormatting xmlns:xm="http://schemas.microsoft.com/office/excel/2006/main">
          <x14:cfRule type="expression" priority="7" id="{5879250E-A91F-4380-B26A-7A64905BD1CA}">
            <xm:f>Tarifs!D96=5</xm:f>
            <x14:dxf>
              <font>
                <strike val="0"/>
                <color theme="1"/>
              </font>
              <border>
                <bottom style="thin">
                  <color auto="1"/>
                </bottom>
                <vertical/>
                <horizontal/>
              </border>
            </x14:dxf>
          </x14:cfRule>
          <xm:sqref>T6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6BEF-7F92-4121-B4BB-B0C57E170D57}">
  <sheetPr>
    <tabColor rgb="FFFFFF00"/>
    <pageSetUpPr fitToPage="1"/>
  </sheetPr>
  <dimension ref="A1:AN986"/>
  <sheetViews>
    <sheetView showGridLines="0" zoomScaleNormal="100" workbookViewId="0">
      <pane ySplit="10" topLeftCell="A11" activePane="bottomLeft" state="frozen"/>
      <selection pane="bottomLeft" activeCell="I25" sqref="I25"/>
    </sheetView>
  </sheetViews>
  <sheetFormatPr baseColWidth="10" defaultColWidth="14.42578125" defaultRowHeight="15" customHeight="1" outlineLevelCol="1" x14ac:dyDescent="0.25"/>
  <cols>
    <col min="1" max="1" width="49.85546875" style="15" customWidth="1"/>
    <col min="2" max="2" width="34.28515625" style="15" customWidth="1"/>
    <col min="3" max="3" width="5" style="15" customWidth="1"/>
    <col min="4" max="4" width="1.85546875" style="15" customWidth="1"/>
    <col min="5" max="5" width="13" style="15" customWidth="1"/>
    <col min="6" max="6" width="3.140625" style="15" customWidth="1"/>
    <col min="7" max="7" width="13.140625" style="15" customWidth="1"/>
    <col min="8" max="8" width="2.42578125" style="15" customWidth="1"/>
    <col min="9" max="9" width="14.28515625" style="15" customWidth="1"/>
    <col min="10" max="10" width="2.5703125" style="15" customWidth="1"/>
    <col min="11" max="11" width="14.28515625" style="15" customWidth="1"/>
    <col min="12" max="12" width="2.5703125" style="15" customWidth="1"/>
    <col min="13" max="13" width="14.28515625" style="15" customWidth="1"/>
    <col min="14" max="14" width="1" style="15" customWidth="1"/>
    <col min="15" max="15" width="28" style="15" customWidth="1"/>
    <col min="16" max="16" width="13.85546875" style="15" customWidth="1"/>
    <col min="17" max="17" width="2.7109375" style="15" customWidth="1"/>
    <col min="18" max="18" width="8.7109375" style="15" customWidth="1"/>
    <col min="19" max="19" width="3" style="15" customWidth="1"/>
    <col min="20" max="20" width="14.28515625" style="15" customWidth="1"/>
    <col min="21" max="21" width="2.140625" style="15" customWidth="1"/>
    <col min="22" max="22" width="14.28515625" style="15" customWidth="1"/>
    <col min="23" max="23" width="2.85546875" style="15" customWidth="1"/>
    <col min="24" max="24" width="14.28515625" style="15" customWidth="1"/>
    <col min="25" max="25" width="1" style="15" customWidth="1"/>
    <col min="26" max="26" width="18.28515625" style="15" customWidth="1"/>
    <col min="27" max="27" width="18.28515625" style="304" customWidth="1" outlineLevel="1"/>
    <col min="28" max="28" width="15.7109375" style="304" customWidth="1" outlineLevel="1"/>
    <col min="29" max="29" width="14.28515625" style="304" customWidth="1" outlineLevel="1"/>
    <col min="30" max="30" width="12.7109375" style="304" customWidth="1" outlineLevel="1"/>
    <col min="31" max="33" width="10.85546875" style="304" customWidth="1" outlineLevel="1"/>
    <col min="34" max="34" width="13.85546875" style="304" customWidth="1" outlineLevel="1"/>
    <col min="35" max="36" width="10.85546875" style="304" customWidth="1" outlineLevel="1"/>
    <col min="37" max="39" width="10.85546875" style="15" customWidth="1" outlineLevel="1"/>
    <col min="40" max="40" width="14.42578125" style="15" customWidth="1" outlineLevel="1"/>
    <col min="41" max="16384" width="14.42578125" style="15"/>
  </cols>
  <sheetData>
    <row r="1" spans="1:39" ht="14.25" customHeight="1" thickBot="1" x14ac:dyDescent="0.3">
      <c r="A1" s="14"/>
      <c r="B1" s="561"/>
      <c r="C1" s="560" t="s">
        <v>174</v>
      </c>
      <c r="D1" s="552"/>
      <c r="E1" s="552"/>
      <c r="F1" s="552"/>
      <c r="G1" s="552"/>
      <c r="H1" s="563"/>
      <c r="I1" s="563"/>
      <c r="J1" s="563"/>
      <c r="K1" s="563"/>
      <c r="L1" s="563"/>
      <c r="M1" s="563"/>
      <c r="N1" s="14"/>
      <c r="U1" s="14"/>
      <c r="V1" s="14"/>
      <c r="W1" s="14"/>
      <c r="X1" s="14"/>
      <c r="Y1" s="14"/>
      <c r="Z1" s="14"/>
      <c r="AA1" s="287"/>
      <c r="AB1" s="290"/>
      <c r="AC1" s="355"/>
      <c r="AE1" s="355"/>
      <c r="AF1" s="14"/>
      <c r="AG1" s="14"/>
      <c r="AH1" s="14"/>
      <c r="AI1" s="14"/>
      <c r="AJ1" s="14"/>
      <c r="AK1" s="14"/>
      <c r="AL1" s="14"/>
      <c r="AM1" s="14"/>
    </row>
    <row r="2" spans="1:39" ht="9" customHeight="1" x14ac:dyDescent="0.25">
      <c r="A2" s="14"/>
      <c r="B2" s="561"/>
      <c r="C2" s="552"/>
      <c r="D2" s="552"/>
      <c r="E2" s="552"/>
      <c r="F2" s="552"/>
      <c r="G2" s="552"/>
      <c r="H2" s="563"/>
      <c r="I2" s="563"/>
      <c r="J2" s="563"/>
      <c r="K2" s="563"/>
      <c r="L2" s="563"/>
      <c r="M2" s="563"/>
      <c r="N2" s="14"/>
      <c r="O2" s="16"/>
      <c r="P2" s="17"/>
      <c r="Q2" s="17"/>
      <c r="R2" s="17"/>
      <c r="S2" s="17"/>
      <c r="T2" s="17"/>
      <c r="U2" s="18"/>
      <c r="V2" s="14"/>
      <c r="W2" s="14"/>
      <c r="X2" s="14"/>
      <c r="Y2" s="14"/>
      <c r="Z2" s="14"/>
      <c r="AA2" s="287"/>
      <c r="AB2" s="290"/>
      <c r="AC2" s="299"/>
      <c r="AE2" s="299"/>
      <c r="AF2" s="14"/>
      <c r="AG2" s="14"/>
      <c r="AH2" s="14"/>
      <c r="AI2" s="14"/>
      <c r="AJ2" s="14"/>
      <c r="AK2" s="14"/>
      <c r="AL2" s="14"/>
      <c r="AM2" s="14"/>
    </row>
    <row r="3" spans="1:39" ht="15.75" customHeight="1" x14ac:dyDescent="0.25">
      <c r="B3" s="562"/>
      <c r="C3" s="563" t="s">
        <v>175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19"/>
      <c r="O3" s="20" t="s">
        <v>50</v>
      </c>
      <c r="P3" s="509" t="s">
        <v>126</v>
      </c>
      <c r="Q3" s="510"/>
      <c r="R3" s="510"/>
      <c r="S3" s="510"/>
      <c r="T3" s="510"/>
      <c r="U3" s="21"/>
      <c r="Z3" s="22"/>
      <c r="AA3" s="291"/>
      <c r="AB3" s="355"/>
      <c r="AC3" s="358"/>
      <c r="AE3" s="358"/>
      <c r="AF3" s="22"/>
      <c r="AG3" s="22"/>
      <c r="AH3" s="22"/>
      <c r="AI3" s="22"/>
      <c r="AJ3" s="22"/>
    </row>
    <row r="4" spans="1:39" ht="19.5" customHeight="1" x14ac:dyDescent="0.25">
      <c r="B4" s="562"/>
      <c r="C4" s="563" t="s">
        <v>176</v>
      </c>
      <c r="D4" s="563"/>
      <c r="E4" s="563"/>
      <c r="F4" s="563"/>
      <c r="G4" s="563"/>
      <c r="H4" s="563"/>
      <c r="I4" s="563"/>
      <c r="J4" s="563"/>
      <c r="K4" s="563"/>
      <c r="L4" s="563"/>
      <c r="M4" s="563"/>
      <c r="O4" s="20" t="s">
        <v>51</v>
      </c>
      <c r="P4" s="511"/>
      <c r="Q4" s="510"/>
      <c r="R4" s="510"/>
      <c r="S4" s="510"/>
      <c r="T4" s="510"/>
      <c r="U4" s="23"/>
      <c r="X4" s="24"/>
      <c r="Z4" s="22"/>
      <c r="AA4" s="291"/>
      <c r="AB4" s="356"/>
      <c r="AC4" s="358"/>
      <c r="AE4" s="358"/>
      <c r="AF4" s="22"/>
      <c r="AG4" s="22"/>
      <c r="AH4" s="22"/>
      <c r="AI4" s="22"/>
      <c r="AJ4" s="22"/>
    </row>
    <row r="5" spans="1:39" ht="18.75" customHeight="1" x14ac:dyDescent="0.25">
      <c r="A5" s="383" t="s">
        <v>147</v>
      </c>
      <c r="B5" s="383"/>
      <c r="C5" s="563" t="s">
        <v>177</v>
      </c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14"/>
      <c r="O5" s="330" t="s">
        <v>52</v>
      </c>
      <c r="P5" s="512" t="s">
        <v>35</v>
      </c>
      <c r="Q5" s="513"/>
      <c r="R5" s="513"/>
      <c r="S5" s="513"/>
      <c r="T5" s="513"/>
      <c r="U5" s="25"/>
      <c r="Z5" s="22"/>
      <c r="AA5" s="291"/>
      <c r="AB5" s="356"/>
      <c r="AC5" s="358"/>
      <c r="AE5" s="358"/>
      <c r="AF5" s="22"/>
      <c r="AG5" s="22"/>
      <c r="AH5" s="22"/>
      <c r="AI5" s="22"/>
      <c r="AJ5" s="22"/>
    </row>
    <row r="6" spans="1:39" ht="20.25" customHeight="1" x14ac:dyDescent="0.25">
      <c r="A6" s="383"/>
      <c r="B6" s="383"/>
      <c r="C6" s="563"/>
      <c r="D6" s="564" t="s">
        <v>178</v>
      </c>
      <c r="E6" s="563"/>
      <c r="F6" s="563"/>
      <c r="G6" s="563"/>
      <c r="H6" s="563"/>
      <c r="I6" s="563"/>
      <c r="J6" s="563"/>
      <c r="K6" s="563"/>
      <c r="L6" s="563"/>
      <c r="M6" s="563"/>
      <c r="N6" s="14"/>
      <c r="O6" s="20" t="s">
        <v>53</v>
      </c>
      <c r="P6" s="334">
        <v>65</v>
      </c>
      <c r="Q6" s="352" t="s">
        <v>36</v>
      </c>
      <c r="R6" s="353"/>
      <c r="S6" s="354" t="s">
        <v>38</v>
      </c>
      <c r="T6" s="565"/>
      <c r="U6" s="23"/>
      <c r="Z6" s="22"/>
      <c r="AA6" s="291"/>
      <c r="AB6" s="357"/>
      <c r="AC6" s="358"/>
      <c r="AE6" s="358"/>
      <c r="AF6" s="22"/>
      <c r="AG6" s="22"/>
      <c r="AH6" s="22"/>
      <c r="AI6" s="22"/>
      <c r="AJ6" s="22"/>
    </row>
    <row r="7" spans="1:39" ht="21" customHeight="1" x14ac:dyDescent="0.25">
      <c r="A7" s="383"/>
      <c r="B7" s="383"/>
      <c r="C7" s="563" t="s">
        <v>179</v>
      </c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14"/>
      <c r="O7" s="366" t="s">
        <v>11</v>
      </c>
      <c r="P7" s="435"/>
      <c r="Q7" s="436"/>
      <c r="R7" s="437"/>
      <c r="S7" s="22"/>
      <c r="T7" s="359" t="str">
        <f>IFERROR(VLOOKUP($T$6,Tarifs!$A$110:$E$114,IF(DUREE&lt;60,3,5),FALSE),"")</f>
        <v/>
      </c>
      <c r="U7" s="26"/>
      <c r="Z7" s="22"/>
      <c r="AA7" s="291"/>
      <c r="AB7" s="22"/>
      <c r="AC7" s="292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39" ht="15" customHeight="1" x14ac:dyDescent="0.25">
      <c r="A8" s="507" t="s">
        <v>173</v>
      </c>
      <c r="B8" s="507"/>
      <c r="C8" s="553" t="s">
        <v>180</v>
      </c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14"/>
      <c r="O8" s="365" t="s">
        <v>12</v>
      </c>
      <c r="P8" s="453"/>
      <c r="Q8" s="454"/>
      <c r="R8" s="455"/>
      <c r="S8" s="28"/>
      <c r="T8" s="28"/>
      <c r="U8" s="29"/>
      <c r="Z8" s="22"/>
      <c r="AA8" s="291"/>
      <c r="AB8" s="35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</row>
    <row r="9" spans="1:39" ht="7.5" customHeight="1" thickBot="1" x14ac:dyDescent="0.3">
      <c r="A9" s="507"/>
      <c r="B9" s="507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14"/>
      <c r="O9" s="30"/>
      <c r="P9" s="31"/>
      <c r="Q9" s="31"/>
      <c r="R9" s="31"/>
      <c r="S9" s="31"/>
      <c r="T9" s="31"/>
      <c r="U9" s="32"/>
      <c r="V9" s="33"/>
      <c r="W9" s="33"/>
      <c r="X9" s="33"/>
      <c r="Y9" s="33"/>
      <c r="Z9" s="22"/>
      <c r="AA9" s="291"/>
      <c r="AB9" s="35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1:39" ht="17.25" customHeight="1" thickBot="1" x14ac:dyDescent="0.3">
      <c r="A10" s="508"/>
      <c r="B10" s="508"/>
      <c r="C10" s="554"/>
      <c r="D10" s="554"/>
      <c r="E10" s="554"/>
      <c r="F10" s="554"/>
      <c r="G10" s="554"/>
      <c r="H10" s="554"/>
      <c r="I10" s="554"/>
      <c r="J10" s="554"/>
      <c r="K10" s="554"/>
      <c r="L10" s="554"/>
      <c r="M10" s="554"/>
      <c r="N10" s="14"/>
      <c r="V10" s="34"/>
      <c r="W10" s="34"/>
      <c r="X10" s="35"/>
      <c r="Y10" s="35"/>
      <c r="Z10" s="35"/>
      <c r="AA10" s="293" t="s">
        <v>13</v>
      </c>
      <c r="AB10" s="293" t="s">
        <v>14</v>
      </c>
      <c r="AC10" s="14" t="s">
        <v>15</v>
      </c>
      <c r="AD10" s="14" t="s">
        <v>16</v>
      </c>
      <c r="AE10" s="14" t="s">
        <v>17</v>
      </c>
      <c r="AF10" s="294" t="s">
        <v>18</v>
      </c>
      <c r="AG10" s="14" t="s">
        <v>19</v>
      </c>
      <c r="AH10" s="14" t="s">
        <v>20</v>
      </c>
      <c r="AI10" s="294" t="s">
        <v>21</v>
      </c>
      <c r="AJ10" s="14"/>
      <c r="AK10" s="14"/>
      <c r="AL10" s="14"/>
      <c r="AM10" s="14"/>
    </row>
    <row r="11" spans="1:39" ht="27.75" customHeight="1" x14ac:dyDescent="0.25">
      <c r="A11" s="36" t="s">
        <v>148</v>
      </c>
      <c r="B11" s="305"/>
      <c r="C11" s="37"/>
      <c r="D11" s="37"/>
      <c r="E11" s="37"/>
      <c r="F11" s="37"/>
      <c r="G11" s="456" t="s">
        <v>190</v>
      </c>
      <c r="H11" s="404"/>
      <c r="I11" s="404"/>
      <c r="J11" s="404"/>
      <c r="K11" s="404"/>
      <c r="L11" s="404"/>
      <c r="M11" s="405"/>
      <c r="N11" s="14"/>
      <c r="O11" s="457"/>
      <c r="P11" s="404"/>
      <c r="Q11" s="404"/>
      <c r="R11" s="404"/>
      <c r="S11" s="404"/>
      <c r="T11" s="404"/>
      <c r="U11" s="404"/>
      <c r="V11" s="404"/>
      <c r="W11" s="404"/>
      <c r="X11" s="405"/>
      <c r="Y11" s="38"/>
      <c r="Z11" s="458" t="str">
        <f>IF(Tarifs!$D$96=Tarifs!$B$102,"TOTAL Payable by the organization", "TOTAL Payable by the artist")</f>
        <v>TOTAL Payable by the artist</v>
      </c>
      <c r="AA11" s="295"/>
      <c r="AB11" s="296">
        <v>0.5</v>
      </c>
      <c r="AC11" s="14"/>
      <c r="AD11" s="14"/>
      <c r="AE11" s="296">
        <v>0.5</v>
      </c>
      <c r="AF11" s="296"/>
      <c r="AG11" s="296"/>
      <c r="AH11" s="296"/>
      <c r="AI11" s="14"/>
      <c r="AJ11" s="14"/>
      <c r="AK11" s="14"/>
      <c r="AL11" s="14"/>
      <c r="AM11" s="14"/>
    </row>
    <row r="12" spans="1:39" ht="17.25" customHeight="1" x14ac:dyDescent="0.25">
      <c r="A12" s="39" t="s">
        <v>149</v>
      </c>
      <c r="B12" s="306"/>
      <c r="C12" s="460" t="s">
        <v>23</v>
      </c>
      <c r="D12" s="408"/>
      <c r="E12" s="40" t="s">
        <v>192</v>
      </c>
      <c r="F12" s="40"/>
      <c r="G12" s="40" t="s">
        <v>144</v>
      </c>
      <c r="H12" s="40"/>
      <c r="I12" s="40" t="s">
        <v>152</v>
      </c>
      <c r="J12" s="40"/>
      <c r="K12" s="40" t="str">
        <f>IFERROR(IF(OR($P$3=Tarifs!$A$94,$P$3=Tarifs!$A$95),"PRIM Support","PRIM Support "&amp;VLOOKUP($P$3,Tarifs!$A$94:$C$104,3,FALSE)*100&amp;"%"),"PRIM Support")</f>
        <v>PRIM Support 75%</v>
      </c>
      <c r="L12" s="40"/>
      <c r="M12" s="41" t="s">
        <v>25</v>
      </c>
      <c r="N12" s="14"/>
      <c r="O12" s="42"/>
      <c r="P12" s="43"/>
      <c r="Q12" s="40"/>
      <c r="R12" s="40"/>
      <c r="S12" s="43"/>
      <c r="T12" s="40"/>
      <c r="U12" s="40"/>
      <c r="V12" s="40"/>
      <c r="W12" s="40"/>
      <c r="X12" s="41"/>
      <c r="Y12" s="38"/>
      <c r="Z12" s="459"/>
      <c r="AA12" s="295"/>
      <c r="AB12" s="297"/>
      <c r="AC12" s="297">
        <v>0</v>
      </c>
      <c r="AD12" s="298">
        <v>0</v>
      </c>
      <c r="AE12" s="299"/>
      <c r="AF12" s="298"/>
      <c r="AG12" s="297"/>
      <c r="AH12" s="298">
        <v>0</v>
      </c>
      <c r="AI12" s="299"/>
      <c r="AJ12" s="14"/>
      <c r="AK12" s="14"/>
      <c r="AL12" s="14"/>
      <c r="AM12" s="14"/>
    </row>
    <row r="13" spans="1:39" ht="14.25" customHeight="1" x14ac:dyDescent="0.25">
      <c r="A13" s="514" t="s">
        <v>181</v>
      </c>
      <c r="B13" s="515"/>
      <c r="C13" s="516">
        <v>1</v>
      </c>
      <c r="D13" s="517"/>
      <c r="E13" s="335" t="s">
        <v>142</v>
      </c>
      <c r="F13" s="44" t="s">
        <v>1</v>
      </c>
      <c r="G13" s="45">
        <f>IF(OR(A13="",E13=""),0,(VLOOKUP(A13,Tarifs!A$48:E$83,IF(E13="Day",2,IF(E13="Weekend",3,IF(E13="Week",4,IF(E13="Month",5,"")))),FALSE)))</f>
        <v>1600</v>
      </c>
      <c r="H13" s="46" t="s">
        <v>26</v>
      </c>
      <c r="I13" s="47">
        <f t="shared" ref="I13:I19" si="0">C13*G13</f>
        <v>1600</v>
      </c>
      <c r="J13" s="48" t="s">
        <v>27</v>
      </c>
      <c r="K13" s="47">
        <f t="shared" ref="K13:K19" si="1">AI13</f>
        <v>1200</v>
      </c>
      <c r="L13" s="48" t="s">
        <v>26</v>
      </c>
      <c r="M13" s="49">
        <f t="shared" ref="M13:M19" si="2">I13-K13</f>
        <v>400</v>
      </c>
      <c r="N13" s="14"/>
      <c r="O13" s="50"/>
      <c r="P13" s="51"/>
      <c r="Q13" s="52"/>
      <c r="R13" s="53"/>
      <c r="S13" s="53"/>
      <c r="T13" s="52"/>
      <c r="U13" s="52"/>
      <c r="V13" s="52"/>
      <c r="W13" s="52"/>
      <c r="X13" s="54"/>
      <c r="Y13" s="52"/>
      <c r="Z13" s="55">
        <f t="shared" ref="Z13:Z19" si="3">M13</f>
        <v>400</v>
      </c>
      <c r="AA13" s="288"/>
      <c r="AB13" s="297">
        <v>1200</v>
      </c>
      <c r="AC13" s="297">
        <v>0</v>
      </c>
      <c r="AD13" s="298">
        <v>0</v>
      </c>
      <c r="AE13" s="298">
        <v>800</v>
      </c>
      <c r="AF13" s="298">
        <v>1200</v>
      </c>
      <c r="AG13" s="297">
        <v>0</v>
      </c>
      <c r="AH13" s="298">
        <v>0</v>
      </c>
      <c r="AI13" s="298">
        <v>1200</v>
      </c>
      <c r="AJ13" s="56"/>
      <c r="AK13" s="56"/>
      <c r="AL13" s="56"/>
      <c r="AM13" s="56"/>
    </row>
    <row r="14" spans="1:39" ht="14.25" customHeight="1" x14ac:dyDescent="0.25">
      <c r="A14" s="518" t="s">
        <v>182</v>
      </c>
      <c r="B14" s="519"/>
      <c r="C14" s="520">
        <v>4</v>
      </c>
      <c r="D14" s="517"/>
      <c r="E14" s="336" t="s">
        <v>140</v>
      </c>
      <c r="F14" s="57" t="s">
        <v>1</v>
      </c>
      <c r="G14" s="58">
        <f>IF(OR(A14="",E14=""),0,(VLOOKUP(A14,Tarifs!A$48:E$83,IF(E14="Day",2,IF(E14="Weekend",3,IF(E14="Week",4,IF(E14="Month",5,"")))),FALSE)))</f>
        <v>200</v>
      </c>
      <c r="H14" s="58" t="s">
        <v>26</v>
      </c>
      <c r="I14" s="59">
        <f t="shared" si="0"/>
        <v>800</v>
      </c>
      <c r="J14" s="60" t="s">
        <v>27</v>
      </c>
      <c r="K14" s="59">
        <f t="shared" si="1"/>
        <v>600</v>
      </c>
      <c r="L14" s="60" t="s">
        <v>26</v>
      </c>
      <c r="M14" s="61">
        <f t="shared" si="2"/>
        <v>200</v>
      </c>
      <c r="N14" s="14"/>
      <c r="O14" s="50"/>
      <c r="P14" s="52"/>
      <c r="Q14" s="52"/>
      <c r="R14" s="53"/>
      <c r="S14" s="52"/>
      <c r="T14" s="52"/>
      <c r="U14" s="52"/>
      <c r="V14" s="52"/>
      <c r="W14" s="52"/>
      <c r="X14" s="54"/>
      <c r="Y14" s="52"/>
      <c r="Z14" s="62">
        <f t="shared" si="3"/>
        <v>200</v>
      </c>
      <c r="AA14" s="288"/>
      <c r="AB14" s="297">
        <v>600</v>
      </c>
      <c r="AC14" s="297">
        <v>0</v>
      </c>
      <c r="AD14" s="298">
        <v>0</v>
      </c>
      <c r="AE14" s="298">
        <v>400</v>
      </c>
      <c r="AF14" s="298">
        <v>600</v>
      </c>
      <c r="AG14" s="297">
        <v>0</v>
      </c>
      <c r="AH14" s="298">
        <v>0</v>
      </c>
      <c r="AI14" s="298">
        <v>600</v>
      </c>
      <c r="AJ14" s="14"/>
      <c r="AK14" s="14"/>
      <c r="AL14" s="14"/>
      <c r="AM14" s="14"/>
    </row>
    <row r="15" spans="1:39" ht="14.25" customHeight="1" x14ac:dyDescent="0.25">
      <c r="A15" s="514"/>
      <c r="B15" s="515"/>
      <c r="C15" s="516"/>
      <c r="D15" s="517"/>
      <c r="E15" s="335"/>
      <c r="F15" s="44" t="s">
        <v>1</v>
      </c>
      <c r="G15" s="45">
        <f>IF(OR(A15="",E15=""),0,(VLOOKUP(A15,Tarifs!A$48:E$83,IF(E15="Day",2,IF(E15="Weekend",3,IF(E15="Week",4,IF(E15="Month",5,"")))),FALSE)))</f>
        <v>0</v>
      </c>
      <c r="H15" s="46" t="s">
        <v>26</v>
      </c>
      <c r="I15" s="47">
        <f t="shared" si="0"/>
        <v>0</v>
      </c>
      <c r="J15" s="48" t="s">
        <v>27</v>
      </c>
      <c r="K15" s="47">
        <f t="shared" si="1"/>
        <v>0</v>
      </c>
      <c r="L15" s="48" t="s">
        <v>26</v>
      </c>
      <c r="M15" s="49">
        <f t="shared" si="2"/>
        <v>0</v>
      </c>
      <c r="N15" s="14"/>
      <c r="O15" s="50"/>
      <c r="P15" s="52"/>
      <c r="Q15" s="52"/>
      <c r="R15" s="53"/>
      <c r="S15" s="52"/>
      <c r="T15" s="52"/>
      <c r="U15" s="52"/>
      <c r="V15" s="52"/>
      <c r="W15" s="52"/>
      <c r="X15" s="54"/>
      <c r="Y15" s="52"/>
      <c r="Z15" s="55">
        <f t="shared" si="3"/>
        <v>0</v>
      </c>
      <c r="AA15" s="288"/>
      <c r="AB15" s="297">
        <v>0</v>
      </c>
      <c r="AC15" s="297">
        <v>0</v>
      </c>
      <c r="AD15" s="298">
        <v>0</v>
      </c>
      <c r="AE15" s="298">
        <v>0</v>
      </c>
      <c r="AF15" s="298">
        <v>0</v>
      </c>
      <c r="AG15" s="297">
        <v>0</v>
      </c>
      <c r="AH15" s="298">
        <v>0</v>
      </c>
      <c r="AI15" s="298">
        <v>0</v>
      </c>
      <c r="AJ15" s="14"/>
      <c r="AK15" s="14"/>
      <c r="AL15" s="14"/>
      <c r="AM15" s="14"/>
    </row>
    <row r="16" spans="1:39" ht="14.25" customHeight="1" x14ac:dyDescent="0.25">
      <c r="A16" s="518"/>
      <c r="B16" s="519"/>
      <c r="C16" s="520"/>
      <c r="D16" s="517"/>
      <c r="E16" s="336"/>
      <c r="F16" s="57" t="s">
        <v>1</v>
      </c>
      <c r="G16" s="58">
        <f>IF(OR(A16="",E16=""),0,(VLOOKUP(A16,Tarifs!A$48:E$83,IF(E16="Day",2,IF(E16="Weekend",3,IF(E16="Week",4,IF(E16="Month",5,"")))),FALSE)))</f>
        <v>0</v>
      </c>
      <c r="H16" s="58" t="s">
        <v>26</v>
      </c>
      <c r="I16" s="59">
        <f t="shared" si="0"/>
        <v>0</v>
      </c>
      <c r="J16" s="60" t="s">
        <v>27</v>
      </c>
      <c r="K16" s="59">
        <f t="shared" si="1"/>
        <v>0</v>
      </c>
      <c r="L16" s="60" t="s">
        <v>26</v>
      </c>
      <c r="M16" s="61">
        <f t="shared" si="2"/>
        <v>0</v>
      </c>
      <c r="N16" s="14"/>
      <c r="O16" s="50"/>
      <c r="P16" s="52"/>
      <c r="Q16" s="52"/>
      <c r="R16" s="53"/>
      <c r="S16" s="52"/>
      <c r="T16" s="52"/>
      <c r="U16" s="52"/>
      <c r="V16" s="52"/>
      <c r="W16" s="52"/>
      <c r="X16" s="54"/>
      <c r="Y16" s="52"/>
      <c r="Z16" s="62">
        <f t="shared" si="3"/>
        <v>0</v>
      </c>
      <c r="AA16" s="288"/>
      <c r="AB16" s="297">
        <v>0</v>
      </c>
      <c r="AC16" s="297">
        <v>0</v>
      </c>
      <c r="AD16" s="298">
        <v>0</v>
      </c>
      <c r="AE16" s="298">
        <v>0</v>
      </c>
      <c r="AF16" s="298">
        <v>0</v>
      </c>
      <c r="AG16" s="297">
        <v>0</v>
      </c>
      <c r="AH16" s="298">
        <v>0</v>
      </c>
      <c r="AI16" s="298">
        <v>0</v>
      </c>
      <c r="AJ16" s="14"/>
      <c r="AK16" s="14"/>
      <c r="AL16" s="14"/>
      <c r="AM16" s="14"/>
    </row>
    <row r="17" spans="1:39" ht="14.25" customHeight="1" x14ac:dyDescent="0.25">
      <c r="A17" s="514"/>
      <c r="B17" s="515"/>
      <c r="C17" s="516"/>
      <c r="D17" s="517"/>
      <c r="E17" s="335"/>
      <c r="F17" s="44" t="s">
        <v>1</v>
      </c>
      <c r="G17" s="45">
        <f>IF(OR(A17="",E17=""),0,(VLOOKUP(A17,Tarifs!A$48:E$83,IF(E17="Day",2,IF(E17="Weekend",3,IF(E17="Week",4,IF(E17="Month",5,"")))),FALSE)))</f>
        <v>0</v>
      </c>
      <c r="H17" s="45" t="s">
        <v>26</v>
      </c>
      <c r="I17" s="47">
        <f t="shared" si="0"/>
        <v>0</v>
      </c>
      <c r="J17" s="48" t="s">
        <v>27</v>
      </c>
      <c r="K17" s="47">
        <f t="shared" si="1"/>
        <v>0</v>
      </c>
      <c r="L17" s="48" t="s">
        <v>26</v>
      </c>
      <c r="M17" s="49">
        <f t="shared" si="2"/>
        <v>0</v>
      </c>
      <c r="N17" s="14"/>
      <c r="O17" s="50"/>
      <c r="P17" s="52"/>
      <c r="Q17" s="52"/>
      <c r="R17" s="53"/>
      <c r="S17" s="52"/>
      <c r="T17" s="52"/>
      <c r="U17" s="52"/>
      <c r="V17" s="52"/>
      <c r="W17" s="52"/>
      <c r="X17" s="54"/>
      <c r="Y17" s="51"/>
      <c r="Z17" s="55">
        <f t="shared" si="3"/>
        <v>0</v>
      </c>
      <c r="AA17" s="288"/>
      <c r="AB17" s="297">
        <v>0</v>
      </c>
      <c r="AC17" s="297">
        <v>0</v>
      </c>
      <c r="AD17" s="298">
        <v>0</v>
      </c>
      <c r="AE17" s="298">
        <v>0</v>
      </c>
      <c r="AF17" s="298">
        <v>0</v>
      </c>
      <c r="AG17" s="297">
        <v>0</v>
      </c>
      <c r="AH17" s="298">
        <v>0</v>
      </c>
      <c r="AI17" s="298">
        <v>0</v>
      </c>
      <c r="AJ17" s="14"/>
      <c r="AK17" s="14"/>
      <c r="AL17" s="14"/>
      <c r="AM17" s="14"/>
    </row>
    <row r="18" spans="1:39" ht="14.25" customHeight="1" x14ac:dyDescent="0.25">
      <c r="A18" s="518"/>
      <c r="B18" s="519"/>
      <c r="C18" s="520"/>
      <c r="D18" s="517"/>
      <c r="E18" s="336"/>
      <c r="F18" s="57" t="s">
        <v>1</v>
      </c>
      <c r="G18" s="58">
        <f>IF(OR(A18="",E18=""),0,(VLOOKUP(A18,Tarifs!A$48:E$83,IF(E18="Day",2,IF(E18="Weekend",3,IF(E18="Week",4,IF(E18="Month",5,"")))),FALSE)))</f>
        <v>0</v>
      </c>
      <c r="H18" s="58" t="s">
        <v>26</v>
      </c>
      <c r="I18" s="59">
        <f t="shared" si="0"/>
        <v>0</v>
      </c>
      <c r="J18" s="60" t="s">
        <v>27</v>
      </c>
      <c r="K18" s="59">
        <f t="shared" si="1"/>
        <v>0</v>
      </c>
      <c r="L18" s="60" t="s">
        <v>26</v>
      </c>
      <c r="M18" s="61">
        <f t="shared" si="2"/>
        <v>0</v>
      </c>
      <c r="N18" s="14"/>
      <c r="O18" s="50"/>
      <c r="P18" s="52"/>
      <c r="Q18" s="52"/>
      <c r="R18" s="53"/>
      <c r="S18" s="52"/>
      <c r="T18" s="52"/>
      <c r="U18" s="52"/>
      <c r="V18" s="52"/>
      <c r="W18" s="52"/>
      <c r="X18" s="54"/>
      <c r="Y18" s="51"/>
      <c r="Z18" s="62">
        <f t="shared" si="3"/>
        <v>0</v>
      </c>
      <c r="AA18" s="288"/>
      <c r="AB18" s="297">
        <v>0</v>
      </c>
      <c r="AC18" s="297">
        <v>0</v>
      </c>
      <c r="AD18" s="298">
        <v>0</v>
      </c>
      <c r="AE18" s="298">
        <v>0</v>
      </c>
      <c r="AF18" s="298">
        <v>0</v>
      </c>
      <c r="AG18" s="297">
        <v>0</v>
      </c>
      <c r="AH18" s="298">
        <v>0</v>
      </c>
      <c r="AI18" s="298">
        <v>0</v>
      </c>
      <c r="AJ18" s="14"/>
      <c r="AK18" s="14"/>
      <c r="AL18" s="14"/>
      <c r="AM18" s="14"/>
    </row>
    <row r="19" spans="1:39" ht="14.25" customHeight="1" thickBot="1" x14ac:dyDescent="0.3">
      <c r="A19" s="521"/>
      <c r="B19" s="522"/>
      <c r="C19" s="523"/>
      <c r="D19" s="524"/>
      <c r="E19" s="337"/>
      <c r="F19" s="63" t="s">
        <v>1</v>
      </c>
      <c r="G19" s="64">
        <f>IF(OR(A19="",E19=""),0,(VLOOKUP(A19,Tarifs!A$48:E$83,IF(E19="Day",2,IF(E19="Weekend",3,IF(E19="Week",4,IF(E19="Month",5,"")))),FALSE)))</f>
        <v>0</v>
      </c>
      <c r="H19" s="64" t="s">
        <v>26</v>
      </c>
      <c r="I19" s="65">
        <f t="shared" si="0"/>
        <v>0</v>
      </c>
      <c r="J19" s="66" t="s">
        <v>27</v>
      </c>
      <c r="K19" s="65">
        <f t="shared" si="1"/>
        <v>0</v>
      </c>
      <c r="L19" s="66" t="s">
        <v>26</v>
      </c>
      <c r="M19" s="67">
        <f t="shared" si="2"/>
        <v>0</v>
      </c>
      <c r="N19" s="14"/>
      <c r="O19" s="68"/>
      <c r="P19" s="69"/>
      <c r="Q19" s="69"/>
      <c r="R19" s="70"/>
      <c r="S19" s="69"/>
      <c r="T19" s="69"/>
      <c r="U19" s="69"/>
      <c r="V19" s="69"/>
      <c r="W19" s="69"/>
      <c r="X19" s="71"/>
      <c r="Y19" s="51"/>
      <c r="Z19" s="72">
        <f t="shared" si="3"/>
        <v>0</v>
      </c>
      <c r="AA19" s="288"/>
      <c r="AB19" s="297">
        <v>0</v>
      </c>
      <c r="AC19" s="297">
        <v>0</v>
      </c>
      <c r="AD19" s="298">
        <v>0</v>
      </c>
      <c r="AE19" s="298">
        <v>0</v>
      </c>
      <c r="AF19" s="298">
        <v>0</v>
      </c>
      <c r="AG19" s="297">
        <v>0</v>
      </c>
      <c r="AH19" s="298">
        <v>0</v>
      </c>
      <c r="AI19" s="298">
        <v>0</v>
      </c>
      <c r="AJ19" s="14"/>
      <c r="AK19" s="14"/>
      <c r="AL19" s="14"/>
      <c r="AM19" s="14"/>
    </row>
    <row r="20" spans="1:39" ht="16.5" customHeight="1" thickTop="1" thickBot="1" x14ac:dyDescent="0.35">
      <c r="A20" s="467" t="s">
        <v>28</v>
      </c>
      <c r="B20" s="468"/>
      <c r="C20" s="401"/>
      <c r="D20" s="401"/>
      <c r="E20" s="401"/>
      <c r="F20" s="401"/>
      <c r="G20" s="402"/>
      <c r="H20" s="73"/>
      <c r="I20" s="74">
        <f>SUM(I13:I19)</f>
        <v>2400</v>
      </c>
      <c r="J20" s="75" t="s">
        <v>27</v>
      </c>
      <c r="K20" s="74">
        <f>SUM(K13:K19)</f>
        <v>1800</v>
      </c>
      <c r="L20" s="75" t="s">
        <v>26</v>
      </c>
      <c r="M20" s="76">
        <f>SUM(M13:M19)</f>
        <v>600</v>
      </c>
      <c r="N20" s="14"/>
      <c r="O20" s="77"/>
      <c r="P20" s="74"/>
      <c r="Q20" s="74"/>
      <c r="R20" s="74"/>
      <c r="S20" s="74"/>
      <c r="T20" s="74"/>
      <c r="U20" s="73"/>
      <c r="V20" s="74"/>
      <c r="W20" s="73"/>
      <c r="X20" s="76"/>
      <c r="Y20" s="51"/>
      <c r="Z20" s="78">
        <f>SUM(Z13:Z19)</f>
        <v>600</v>
      </c>
      <c r="AA20" s="300"/>
      <c r="AB20" s="297"/>
      <c r="AC20" s="297"/>
      <c r="AD20" s="299"/>
      <c r="AE20" s="299"/>
      <c r="AF20" s="299"/>
      <c r="AG20" s="299"/>
      <c r="AH20" s="299"/>
      <c r="AI20" s="299"/>
      <c r="AJ20" s="14"/>
      <c r="AK20" s="14"/>
      <c r="AL20" s="14"/>
      <c r="AM20" s="14"/>
    </row>
    <row r="21" spans="1:39" ht="7.5" customHeight="1" thickBot="1" x14ac:dyDescent="0.3">
      <c r="Z21" s="22"/>
      <c r="AA21" s="291"/>
      <c r="AB21" s="297"/>
      <c r="AC21" s="297"/>
      <c r="AD21" s="299"/>
      <c r="AE21" s="299"/>
      <c r="AF21" s="299"/>
      <c r="AG21" s="299"/>
      <c r="AH21" s="299"/>
      <c r="AI21" s="299"/>
      <c r="AJ21" s="14"/>
      <c r="AK21" s="14"/>
      <c r="AL21" s="14"/>
      <c r="AM21" s="14"/>
    </row>
    <row r="22" spans="1:39" ht="35.25" customHeight="1" x14ac:dyDescent="0.25">
      <c r="A22" s="79" t="s">
        <v>166</v>
      </c>
      <c r="B22" s="394" t="s">
        <v>150</v>
      </c>
      <c r="C22" s="80"/>
      <c r="D22" s="80"/>
      <c r="E22" s="80"/>
      <c r="F22" s="80"/>
      <c r="G22" s="469" t="s">
        <v>157</v>
      </c>
      <c r="H22" s="404"/>
      <c r="I22" s="404"/>
      <c r="J22" s="404"/>
      <c r="K22" s="404"/>
      <c r="L22" s="404"/>
      <c r="M22" s="405"/>
      <c r="N22" s="14"/>
      <c r="O22" s="324"/>
      <c r="P22" s="81"/>
      <c r="Q22" s="81"/>
      <c r="R22" s="463" t="s">
        <v>82</v>
      </c>
      <c r="S22" s="404"/>
      <c r="T22" s="404"/>
      <c r="U22" s="404"/>
      <c r="V22" s="404"/>
      <c r="W22" s="404"/>
      <c r="X22" s="405"/>
      <c r="Y22" s="14"/>
      <c r="Z22" s="464" t="str">
        <f>IF(Tarifs!$D$96=Tarifs!$B$102,"TOTAL Payable by the organization", "TOTAL Payable by the artist")</f>
        <v>TOTAL Payable by the artist</v>
      </c>
      <c r="AA22" s="301"/>
      <c r="AB22" s="297"/>
      <c r="AC22" s="297"/>
      <c r="AD22" s="299"/>
      <c r="AE22" s="299"/>
      <c r="AF22" s="299"/>
      <c r="AG22" s="299"/>
      <c r="AH22" s="299"/>
      <c r="AI22" s="14"/>
      <c r="AJ22" s="14"/>
      <c r="AK22" s="14"/>
      <c r="AL22" s="14"/>
      <c r="AM22" s="14"/>
    </row>
    <row r="23" spans="1:39" ht="24" customHeight="1" x14ac:dyDescent="0.25">
      <c r="A23" s="82" t="s">
        <v>157</v>
      </c>
      <c r="B23" s="395"/>
      <c r="C23" s="406" t="s">
        <v>151</v>
      </c>
      <c r="D23" s="407"/>
      <c r="E23" s="408"/>
      <c r="F23" s="83"/>
      <c r="G23" s="83" t="s">
        <v>144</v>
      </c>
      <c r="H23" s="83"/>
      <c r="I23" s="83" t="s">
        <v>152</v>
      </c>
      <c r="J23" s="83"/>
      <c r="K23" s="83" t="str">
        <f>IFERROR(IF(OR($P$3=Tarifs!$A$94,$P$3=Tarifs!$A$95),"PRIM Support","PRIM Support "&amp;VLOOKUP($P$3,Tarifs!$A$94:$C$104,3,FALSE)*100&amp;"%"),"PRIM Support")</f>
        <v>PRIM Support 75%</v>
      </c>
      <c r="L23" s="83"/>
      <c r="M23" s="84" t="s">
        <v>25</v>
      </c>
      <c r="N23" s="14"/>
      <c r="O23" s="322" t="s">
        <v>154</v>
      </c>
      <c r="P23" s="85" t="s">
        <v>151</v>
      </c>
      <c r="Q23" s="83"/>
      <c r="R23" s="83" t="s">
        <v>144</v>
      </c>
      <c r="S23" s="85"/>
      <c r="T23" s="83" t="s">
        <v>152</v>
      </c>
      <c r="U23" s="83"/>
      <c r="V23" s="83" t="s">
        <v>153</v>
      </c>
      <c r="W23" s="83"/>
      <c r="X23" s="84" t="s">
        <v>25</v>
      </c>
      <c r="Y23" s="38"/>
      <c r="Z23" s="465"/>
      <c r="AA23" s="287"/>
      <c r="AB23" s="297"/>
      <c r="AC23" s="297"/>
      <c r="AD23" s="298"/>
      <c r="AE23" s="299"/>
      <c r="AF23" s="298"/>
      <c r="AG23" s="297"/>
      <c r="AH23" s="298"/>
      <c r="AI23" s="14"/>
      <c r="AJ23" s="14"/>
      <c r="AK23" s="14"/>
      <c r="AL23" s="14"/>
      <c r="AM23" s="14"/>
    </row>
    <row r="24" spans="1:39" ht="14.25" customHeight="1" x14ac:dyDescent="0.25">
      <c r="A24" s="338" t="s">
        <v>58</v>
      </c>
      <c r="B24" s="339" t="s">
        <v>83</v>
      </c>
      <c r="C24" s="526">
        <v>80</v>
      </c>
      <c r="D24" s="407"/>
      <c r="E24" s="408"/>
      <c r="F24" s="44" t="s">
        <v>1</v>
      </c>
      <c r="G24" s="45">
        <f>IF(A24="",0,VLOOKUP(A24,Tarifs!A$3:E$21,2,FALSE))</f>
        <v>150</v>
      </c>
      <c r="H24" s="46" t="s">
        <v>26</v>
      </c>
      <c r="I24" s="47">
        <f t="shared" ref="I24:I32" si="4">C24*G24</f>
        <v>12000</v>
      </c>
      <c r="J24" s="48" t="s">
        <v>27</v>
      </c>
      <c r="K24" s="47">
        <f>AF24</f>
        <v>9000</v>
      </c>
      <c r="L24" s="48" t="s">
        <v>26</v>
      </c>
      <c r="M24" s="49">
        <f t="shared" ref="M24:M32" si="5">I24-K24</f>
        <v>3000</v>
      </c>
      <c r="N24" s="14"/>
      <c r="O24" s="326" t="str">
        <f>IF(B24=0,"",B24)</f>
        <v>Colorist</v>
      </c>
      <c r="P24" s="96">
        <f>IF(OR(B24=Tarifs!$A$35,B24=Tarifs!$A$36,B24=""),"", C24)</f>
        <v>80</v>
      </c>
      <c r="Q24" s="87" t="s">
        <v>1</v>
      </c>
      <c r="R24" s="53">
        <f>IF(OR(B24="",B24=" "),0,VLOOKUP(B24,Techs_Images_Tarifs,2,FALSE))</f>
        <v>45</v>
      </c>
      <c r="S24" s="88" t="s">
        <v>26</v>
      </c>
      <c r="T24" s="52">
        <f t="shared" ref="T24:T31" si="6">IF(P24="",0,R24*P24)</f>
        <v>3600</v>
      </c>
      <c r="U24" s="87" t="s">
        <v>27</v>
      </c>
      <c r="V24" s="52">
        <f>IF(OR(T24=0,$P$8=0),0,IF(Tarifs!D$96=8,IF(P$8&gt;T24,T24,P$8),0))</f>
        <v>0</v>
      </c>
      <c r="W24" s="52" t="s">
        <v>26</v>
      </c>
      <c r="X24" s="54">
        <f t="shared" ref="X24:X31" si="7">T24-V24</f>
        <v>3600</v>
      </c>
      <c r="Y24" s="52"/>
      <c r="Z24" s="89">
        <f t="shared" ref="Z24:Z32" si="8">M24+X24</f>
        <v>6600</v>
      </c>
      <c r="AA24" s="51" t="s">
        <v>195</v>
      </c>
      <c r="AB24" s="297">
        <v>9000</v>
      </c>
      <c r="AC24" s="297">
        <v>0</v>
      </c>
      <c r="AD24" s="298">
        <v>0</v>
      </c>
      <c r="AE24" s="298">
        <v>6000</v>
      </c>
      <c r="AF24" s="298">
        <v>9000</v>
      </c>
      <c r="AG24" s="297">
        <v>0</v>
      </c>
      <c r="AH24" s="298">
        <v>0</v>
      </c>
      <c r="AI24" s="298">
        <v>0</v>
      </c>
      <c r="AJ24" s="14"/>
      <c r="AK24" s="14"/>
      <c r="AL24" s="14"/>
      <c r="AM24" s="14"/>
    </row>
    <row r="25" spans="1:39" ht="14.25" customHeight="1" x14ac:dyDescent="0.25">
      <c r="A25" s="340" t="s">
        <v>56</v>
      </c>
      <c r="B25" s="341" t="s">
        <v>87</v>
      </c>
      <c r="C25" s="525">
        <v>120</v>
      </c>
      <c r="D25" s="407"/>
      <c r="E25" s="408"/>
      <c r="F25" s="57" t="s">
        <v>1</v>
      </c>
      <c r="G25" s="58">
        <f>IF(A25="",0,VLOOKUP(A25,Tarifs!A$3:E$21,2,FALSE))</f>
        <v>30</v>
      </c>
      <c r="H25" s="58" t="s">
        <v>26</v>
      </c>
      <c r="I25" s="59">
        <f t="shared" si="4"/>
        <v>3600</v>
      </c>
      <c r="J25" s="60" t="s">
        <v>27</v>
      </c>
      <c r="K25" s="59">
        <f t="shared" ref="K25:K32" si="9">AF25</f>
        <v>2700</v>
      </c>
      <c r="L25" s="60" t="s">
        <v>26</v>
      </c>
      <c r="M25" s="61">
        <f t="shared" si="5"/>
        <v>900</v>
      </c>
      <c r="N25" s="14"/>
      <c r="O25" s="327" t="str">
        <f t="shared" ref="O25:O31" si="10">IF(B25=0,"",B25)</f>
        <v>-- I work my external technician</v>
      </c>
      <c r="P25" s="90" t="str">
        <f>IF(OR(B25=Tarifs!$A$35,B25=Tarifs!$A$36,B25=""),"", C25)</f>
        <v/>
      </c>
      <c r="Q25" s="91" t="s">
        <v>1</v>
      </c>
      <c r="R25" s="92">
        <f t="shared" ref="R25:R31" si="11">IF(B25="",0,VLOOKUP(B25,Techs_Images_Tarifs,2,FALSE))</f>
        <v>0</v>
      </c>
      <c r="S25" s="91" t="s">
        <v>26</v>
      </c>
      <c r="T25" s="93">
        <f t="shared" si="6"/>
        <v>0</v>
      </c>
      <c r="U25" s="91" t="s">
        <v>27</v>
      </c>
      <c r="V25" s="93">
        <f>IF(OR(T25=0,$P$8=0),0,IF(Tarifs!D$96=8,IF(P$8&gt;T25,T25,P$8),0))</f>
        <v>0</v>
      </c>
      <c r="W25" s="93" t="s">
        <v>26</v>
      </c>
      <c r="X25" s="94">
        <f t="shared" si="7"/>
        <v>0</v>
      </c>
      <c r="Y25" s="52"/>
      <c r="Z25" s="95">
        <f t="shared" si="8"/>
        <v>900</v>
      </c>
      <c r="AA25" s="51" t="s">
        <v>196</v>
      </c>
      <c r="AB25" s="297">
        <v>2700</v>
      </c>
      <c r="AC25" s="297">
        <v>0</v>
      </c>
      <c r="AD25" s="298">
        <v>0</v>
      </c>
      <c r="AE25" s="298">
        <v>0</v>
      </c>
      <c r="AF25" s="298">
        <v>2700</v>
      </c>
      <c r="AG25" s="297">
        <v>0</v>
      </c>
      <c r="AH25" s="298">
        <v>0</v>
      </c>
      <c r="AI25" s="298">
        <v>0</v>
      </c>
      <c r="AJ25" s="14"/>
      <c r="AK25" s="14"/>
      <c r="AL25" s="14"/>
      <c r="AM25" s="14"/>
    </row>
    <row r="26" spans="1:39" ht="14.25" customHeight="1" x14ac:dyDescent="0.25">
      <c r="A26" s="338"/>
      <c r="B26" s="339"/>
      <c r="C26" s="526"/>
      <c r="D26" s="407"/>
      <c r="E26" s="408"/>
      <c r="F26" s="44" t="s">
        <v>1</v>
      </c>
      <c r="G26" s="45">
        <f>IF(A26="",0,VLOOKUP(A26,Tarifs!A$3:E$21,2,FALSE))</f>
        <v>0</v>
      </c>
      <c r="H26" s="45" t="s">
        <v>26</v>
      </c>
      <c r="I26" s="47">
        <f t="shared" si="4"/>
        <v>0</v>
      </c>
      <c r="J26" s="48" t="s">
        <v>27</v>
      </c>
      <c r="K26" s="47">
        <f t="shared" si="9"/>
        <v>0</v>
      </c>
      <c r="L26" s="48" t="s">
        <v>26</v>
      </c>
      <c r="M26" s="49">
        <f t="shared" si="5"/>
        <v>0</v>
      </c>
      <c r="N26" s="14"/>
      <c r="O26" s="326" t="str">
        <f t="shared" si="10"/>
        <v/>
      </c>
      <c r="P26" s="96" t="str">
        <f>IF(OR(B26=Tarifs!$A$35,B26=Tarifs!$A$36,B26=""),"", C26)</f>
        <v/>
      </c>
      <c r="Q26" s="87" t="s">
        <v>1</v>
      </c>
      <c r="R26" s="53">
        <f t="shared" si="11"/>
        <v>0</v>
      </c>
      <c r="S26" s="87" t="s">
        <v>26</v>
      </c>
      <c r="T26" s="52">
        <f t="shared" si="6"/>
        <v>0</v>
      </c>
      <c r="U26" s="87" t="s">
        <v>27</v>
      </c>
      <c r="V26" s="52">
        <f>IF(OR(T26=0,$P$8=0),0,IF(Tarifs!D$96=8,IF(P$8&gt;T26,T26,P$8),0))</f>
        <v>0</v>
      </c>
      <c r="W26" s="52" t="s">
        <v>26</v>
      </c>
      <c r="X26" s="54">
        <f t="shared" si="7"/>
        <v>0</v>
      </c>
      <c r="Y26" s="52"/>
      <c r="Z26" s="89">
        <f t="shared" si="8"/>
        <v>0</v>
      </c>
      <c r="AA26" s="51" t="s">
        <v>196</v>
      </c>
      <c r="AB26" s="297">
        <v>0</v>
      </c>
      <c r="AC26" s="297">
        <v>0</v>
      </c>
      <c r="AD26" s="298">
        <v>0</v>
      </c>
      <c r="AE26" s="298">
        <v>0</v>
      </c>
      <c r="AF26" s="298">
        <v>0</v>
      </c>
      <c r="AG26" s="297">
        <v>0</v>
      </c>
      <c r="AH26" s="298">
        <v>0</v>
      </c>
      <c r="AI26" s="298">
        <v>0</v>
      </c>
      <c r="AJ26" s="14"/>
      <c r="AK26" s="14"/>
      <c r="AL26" s="14"/>
      <c r="AM26" s="14"/>
    </row>
    <row r="27" spans="1:39" ht="14.25" customHeight="1" x14ac:dyDescent="0.25">
      <c r="A27" s="340"/>
      <c r="B27" s="341"/>
      <c r="C27" s="525"/>
      <c r="D27" s="407"/>
      <c r="E27" s="408"/>
      <c r="F27" s="57" t="s">
        <v>1</v>
      </c>
      <c r="G27" s="58">
        <f>IF(A27="",0,VLOOKUP(A27,Tarifs!A$3:E$21,2,FALSE))</f>
        <v>0</v>
      </c>
      <c r="H27" s="58" t="s">
        <v>26</v>
      </c>
      <c r="I27" s="59">
        <f t="shared" si="4"/>
        <v>0</v>
      </c>
      <c r="J27" s="60" t="s">
        <v>27</v>
      </c>
      <c r="K27" s="59">
        <f t="shared" si="9"/>
        <v>0</v>
      </c>
      <c r="L27" s="60" t="s">
        <v>26</v>
      </c>
      <c r="M27" s="61">
        <f t="shared" si="5"/>
        <v>0</v>
      </c>
      <c r="N27" s="14"/>
      <c r="O27" s="327" t="str">
        <f t="shared" si="10"/>
        <v/>
      </c>
      <c r="P27" s="90" t="str">
        <f>IF(OR(B27=Tarifs!$A$35,B27=Tarifs!$A$36,B27=""),"", C27)</f>
        <v/>
      </c>
      <c r="Q27" s="91" t="s">
        <v>1</v>
      </c>
      <c r="R27" s="92">
        <f t="shared" si="11"/>
        <v>0</v>
      </c>
      <c r="S27" s="91" t="s">
        <v>26</v>
      </c>
      <c r="T27" s="93">
        <f t="shared" si="6"/>
        <v>0</v>
      </c>
      <c r="U27" s="91" t="s">
        <v>27</v>
      </c>
      <c r="V27" s="93">
        <f>IF(OR(T27=0,$P$8=0),0,IF(Tarifs!D$96=8,IF(P$8&gt;T27,T27,P$8),0))</f>
        <v>0</v>
      </c>
      <c r="W27" s="93" t="s">
        <v>26</v>
      </c>
      <c r="X27" s="94">
        <f t="shared" si="7"/>
        <v>0</v>
      </c>
      <c r="Y27" s="52"/>
      <c r="Z27" s="95">
        <f t="shared" si="8"/>
        <v>0</v>
      </c>
      <c r="AA27" s="51" t="s">
        <v>196</v>
      </c>
      <c r="AB27" s="297">
        <v>0</v>
      </c>
      <c r="AC27" s="297">
        <v>0</v>
      </c>
      <c r="AD27" s="298">
        <v>0</v>
      </c>
      <c r="AE27" s="298">
        <v>0</v>
      </c>
      <c r="AF27" s="298">
        <v>0</v>
      </c>
      <c r="AG27" s="297">
        <v>0</v>
      </c>
      <c r="AH27" s="298">
        <v>0</v>
      </c>
      <c r="AI27" s="298">
        <v>0</v>
      </c>
      <c r="AJ27" s="14"/>
      <c r="AK27" s="14"/>
      <c r="AL27" s="14"/>
      <c r="AM27" s="14"/>
    </row>
    <row r="28" spans="1:39" ht="14.25" customHeight="1" x14ac:dyDescent="0.25">
      <c r="A28" s="338"/>
      <c r="B28" s="339"/>
      <c r="C28" s="526"/>
      <c r="D28" s="407"/>
      <c r="E28" s="408"/>
      <c r="F28" s="44" t="s">
        <v>1</v>
      </c>
      <c r="G28" s="45">
        <f>IF(A28="",0,VLOOKUP(A28,Tarifs!A$3:E$21,2,FALSE))</f>
        <v>0</v>
      </c>
      <c r="H28" s="45" t="s">
        <v>26</v>
      </c>
      <c r="I28" s="47">
        <f t="shared" si="4"/>
        <v>0</v>
      </c>
      <c r="J28" s="48" t="s">
        <v>27</v>
      </c>
      <c r="K28" s="47">
        <f t="shared" si="9"/>
        <v>0</v>
      </c>
      <c r="L28" s="48" t="s">
        <v>26</v>
      </c>
      <c r="M28" s="49">
        <f t="shared" si="5"/>
        <v>0</v>
      </c>
      <c r="N28" s="14"/>
      <c r="O28" s="326" t="str">
        <f t="shared" si="10"/>
        <v/>
      </c>
      <c r="P28" s="96" t="str">
        <f>IF(OR(B28=Tarifs!$A$35,B28=Tarifs!$A$36,B28=""),"", C28)</f>
        <v/>
      </c>
      <c r="Q28" s="87" t="s">
        <v>1</v>
      </c>
      <c r="R28" s="53">
        <f t="shared" si="11"/>
        <v>0</v>
      </c>
      <c r="S28" s="87" t="s">
        <v>26</v>
      </c>
      <c r="T28" s="52">
        <f t="shared" si="6"/>
        <v>0</v>
      </c>
      <c r="U28" s="87" t="s">
        <v>27</v>
      </c>
      <c r="V28" s="52">
        <f>IF(OR(T28=0,$P$8=0),0,IF(Tarifs!D$96=8,IF(P$8&gt;T28,T28,P$8),0))</f>
        <v>0</v>
      </c>
      <c r="W28" s="52" t="s">
        <v>26</v>
      </c>
      <c r="X28" s="54">
        <f t="shared" si="7"/>
        <v>0</v>
      </c>
      <c r="Y28" s="52"/>
      <c r="Z28" s="89">
        <f t="shared" si="8"/>
        <v>0</v>
      </c>
      <c r="AA28" s="51" t="s">
        <v>196</v>
      </c>
      <c r="AB28" s="297">
        <v>0</v>
      </c>
      <c r="AC28" s="297">
        <v>0</v>
      </c>
      <c r="AD28" s="298">
        <v>0</v>
      </c>
      <c r="AE28" s="298">
        <v>0</v>
      </c>
      <c r="AF28" s="298">
        <v>0</v>
      </c>
      <c r="AG28" s="297">
        <v>0</v>
      </c>
      <c r="AH28" s="298">
        <v>0</v>
      </c>
      <c r="AI28" s="298">
        <v>0</v>
      </c>
      <c r="AJ28" s="14"/>
      <c r="AK28" s="14"/>
      <c r="AL28" s="14"/>
      <c r="AM28" s="14"/>
    </row>
    <row r="29" spans="1:39" ht="14.25" customHeight="1" x14ac:dyDescent="0.25">
      <c r="A29" s="340"/>
      <c r="B29" s="341"/>
      <c r="C29" s="525"/>
      <c r="D29" s="407"/>
      <c r="E29" s="408"/>
      <c r="F29" s="57" t="s">
        <v>1</v>
      </c>
      <c r="G29" s="58">
        <f>IF(A29="",0,VLOOKUP(A29,Tarifs!A$3:E$21,2,FALSE))</f>
        <v>0</v>
      </c>
      <c r="H29" s="58" t="s">
        <v>26</v>
      </c>
      <c r="I29" s="59">
        <f t="shared" si="4"/>
        <v>0</v>
      </c>
      <c r="J29" s="60" t="s">
        <v>27</v>
      </c>
      <c r="K29" s="59">
        <f t="shared" si="9"/>
        <v>0</v>
      </c>
      <c r="L29" s="60" t="s">
        <v>26</v>
      </c>
      <c r="M29" s="61">
        <f t="shared" si="5"/>
        <v>0</v>
      </c>
      <c r="N29" s="14"/>
      <c r="O29" s="327" t="str">
        <f t="shared" si="10"/>
        <v/>
      </c>
      <c r="P29" s="90" t="str">
        <f>IF(OR(B29=Tarifs!$A$35,B29=Tarifs!$A$36,B29=""),"", C29)</f>
        <v/>
      </c>
      <c r="Q29" s="91" t="s">
        <v>1</v>
      </c>
      <c r="R29" s="92">
        <f t="shared" si="11"/>
        <v>0</v>
      </c>
      <c r="S29" s="91" t="s">
        <v>26</v>
      </c>
      <c r="T29" s="93">
        <f t="shared" si="6"/>
        <v>0</v>
      </c>
      <c r="U29" s="91" t="s">
        <v>27</v>
      </c>
      <c r="V29" s="93">
        <f>IF(OR(T29=0,$P$8=0),0,IF(Tarifs!D$96=8,IF(P$8&gt;T29,T29,P$8),0))</f>
        <v>0</v>
      </c>
      <c r="W29" s="93" t="s">
        <v>26</v>
      </c>
      <c r="X29" s="94">
        <f t="shared" si="7"/>
        <v>0</v>
      </c>
      <c r="Y29" s="52"/>
      <c r="Z29" s="95">
        <f t="shared" si="8"/>
        <v>0</v>
      </c>
      <c r="AA29" s="51" t="s">
        <v>196</v>
      </c>
      <c r="AB29" s="297">
        <v>0</v>
      </c>
      <c r="AC29" s="297">
        <v>0</v>
      </c>
      <c r="AD29" s="298">
        <v>0</v>
      </c>
      <c r="AE29" s="298">
        <v>0</v>
      </c>
      <c r="AF29" s="298">
        <v>0</v>
      </c>
      <c r="AG29" s="297">
        <v>0</v>
      </c>
      <c r="AH29" s="298">
        <v>0</v>
      </c>
      <c r="AI29" s="298">
        <v>0</v>
      </c>
      <c r="AJ29" s="14"/>
      <c r="AK29" s="14"/>
      <c r="AL29" s="14"/>
      <c r="AM29" s="14"/>
    </row>
    <row r="30" spans="1:39" ht="14.25" customHeight="1" x14ac:dyDescent="0.25">
      <c r="A30" s="338"/>
      <c r="B30" s="339"/>
      <c r="C30" s="526"/>
      <c r="D30" s="407"/>
      <c r="E30" s="408"/>
      <c r="F30" s="44" t="s">
        <v>1</v>
      </c>
      <c r="G30" s="45">
        <f>IF(A30="",0,VLOOKUP(A30,Tarifs!A$3:E$21,2,FALSE))</f>
        <v>0</v>
      </c>
      <c r="H30" s="45" t="s">
        <v>26</v>
      </c>
      <c r="I30" s="47">
        <f t="shared" si="4"/>
        <v>0</v>
      </c>
      <c r="J30" s="48" t="s">
        <v>27</v>
      </c>
      <c r="K30" s="47">
        <f t="shared" si="9"/>
        <v>0</v>
      </c>
      <c r="L30" s="48" t="s">
        <v>26</v>
      </c>
      <c r="M30" s="49">
        <f t="shared" si="5"/>
        <v>0</v>
      </c>
      <c r="N30" s="14"/>
      <c r="O30" s="326" t="str">
        <f t="shared" si="10"/>
        <v/>
      </c>
      <c r="P30" s="96" t="str">
        <f>IF(OR(B30=Tarifs!$A$35,B30=Tarifs!$A$36,B30=""),"", C30)</f>
        <v/>
      </c>
      <c r="Q30" s="87" t="s">
        <v>1</v>
      </c>
      <c r="R30" s="53">
        <f t="shared" si="11"/>
        <v>0</v>
      </c>
      <c r="S30" s="87" t="s">
        <v>26</v>
      </c>
      <c r="T30" s="52">
        <f t="shared" si="6"/>
        <v>0</v>
      </c>
      <c r="U30" s="87" t="s">
        <v>27</v>
      </c>
      <c r="V30" s="52">
        <f>IF(OR(T30=0,$P$8=0),0,IF(Tarifs!D$96=8,IF(P$8&gt;T30,T30,P$8),0))</f>
        <v>0</v>
      </c>
      <c r="W30" s="52" t="s">
        <v>26</v>
      </c>
      <c r="X30" s="54">
        <f t="shared" si="7"/>
        <v>0</v>
      </c>
      <c r="Y30" s="52"/>
      <c r="Z30" s="89">
        <f t="shared" si="8"/>
        <v>0</v>
      </c>
      <c r="AA30" s="51" t="s">
        <v>196</v>
      </c>
      <c r="AB30" s="297">
        <v>0</v>
      </c>
      <c r="AC30" s="297">
        <v>0</v>
      </c>
      <c r="AD30" s="298">
        <v>0</v>
      </c>
      <c r="AE30" s="298">
        <v>0</v>
      </c>
      <c r="AF30" s="298">
        <v>0</v>
      </c>
      <c r="AG30" s="297">
        <v>0</v>
      </c>
      <c r="AH30" s="298">
        <v>0</v>
      </c>
      <c r="AI30" s="298">
        <v>0</v>
      </c>
      <c r="AJ30" s="14"/>
      <c r="AK30" s="14"/>
      <c r="AL30" s="14"/>
      <c r="AM30" s="14"/>
    </row>
    <row r="31" spans="1:39" ht="14.25" customHeight="1" x14ac:dyDescent="0.25">
      <c r="A31" s="340"/>
      <c r="B31" s="341"/>
      <c r="C31" s="525"/>
      <c r="D31" s="407"/>
      <c r="E31" s="408"/>
      <c r="F31" s="57" t="s">
        <v>1</v>
      </c>
      <c r="G31" s="58">
        <f>IF(A31="",0,VLOOKUP(A31,Tarifs!A$3:E$21,2,FALSE))</f>
        <v>0</v>
      </c>
      <c r="H31" s="58" t="s">
        <v>26</v>
      </c>
      <c r="I31" s="59">
        <f t="shared" si="4"/>
        <v>0</v>
      </c>
      <c r="J31" s="60" t="s">
        <v>27</v>
      </c>
      <c r="K31" s="59">
        <f t="shared" si="9"/>
        <v>0</v>
      </c>
      <c r="L31" s="60" t="s">
        <v>26</v>
      </c>
      <c r="M31" s="61">
        <f t="shared" si="5"/>
        <v>0</v>
      </c>
      <c r="N31" s="14"/>
      <c r="O31" s="327" t="str">
        <f t="shared" si="10"/>
        <v/>
      </c>
      <c r="P31" s="90" t="str">
        <f>IF(OR(B31=Tarifs!$A$35,B31=Tarifs!$A$36,B31=""),"", C31)</f>
        <v/>
      </c>
      <c r="Q31" s="91" t="s">
        <v>1</v>
      </c>
      <c r="R31" s="92">
        <f t="shared" si="11"/>
        <v>0</v>
      </c>
      <c r="S31" s="91" t="s">
        <v>26</v>
      </c>
      <c r="T31" s="93">
        <f t="shared" si="6"/>
        <v>0</v>
      </c>
      <c r="U31" s="91" t="s">
        <v>27</v>
      </c>
      <c r="V31" s="93">
        <f>IF(OR(T31=0,$P$8=0),0,IF(Tarifs!D$96=8,IF(P$8&gt;T31,T31,P$8),0))</f>
        <v>0</v>
      </c>
      <c r="W31" s="93" t="s">
        <v>26</v>
      </c>
      <c r="X31" s="94">
        <f t="shared" si="7"/>
        <v>0</v>
      </c>
      <c r="Y31" s="52"/>
      <c r="Z31" s="95">
        <f t="shared" si="8"/>
        <v>0</v>
      </c>
      <c r="AA31" s="51" t="s">
        <v>196</v>
      </c>
      <c r="AB31" s="297">
        <v>0</v>
      </c>
      <c r="AC31" s="297">
        <v>0</v>
      </c>
      <c r="AD31" s="298">
        <v>0</v>
      </c>
      <c r="AE31" s="298">
        <v>0</v>
      </c>
      <c r="AF31" s="298">
        <v>0</v>
      </c>
      <c r="AG31" s="297">
        <v>0</v>
      </c>
      <c r="AH31" s="298">
        <v>0</v>
      </c>
      <c r="AI31" s="298">
        <v>0</v>
      </c>
      <c r="AJ31" s="14"/>
      <c r="AK31" s="14"/>
      <c r="AL31" s="14"/>
      <c r="AM31" s="14"/>
    </row>
    <row r="32" spans="1:39" ht="14.25" customHeight="1" thickBot="1" x14ac:dyDescent="0.3">
      <c r="A32" s="289" t="str">
        <f>Tarifs!A11</f>
        <v>Data management fee (flat fee)</v>
      </c>
      <c r="B32" s="323" t="s">
        <v>172</v>
      </c>
      <c r="C32" s="396">
        <f>IF(SUM(I24:I31)&gt;=4000,1,0)</f>
        <v>1</v>
      </c>
      <c r="D32" s="397"/>
      <c r="E32" s="398"/>
      <c r="F32" s="63" t="s">
        <v>1</v>
      </c>
      <c r="G32" s="65">
        <f>IF(C32=0,0,VLOOKUP(A32,Tarifs!A$3:E$21,2,FALSE))</f>
        <v>100</v>
      </c>
      <c r="H32" s="65"/>
      <c r="I32" s="65">
        <f t="shared" si="4"/>
        <v>100</v>
      </c>
      <c r="J32" s="97" t="s">
        <v>27</v>
      </c>
      <c r="K32" s="65">
        <f t="shared" si="9"/>
        <v>75</v>
      </c>
      <c r="L32" s="63"/>
      <c r="M32" s="67">
        <f t="shared" si="5"/>
        <v>25</v>
      </c>
      <c r="N32" s="14"/>
      <c r="O32" s="325"/>
      <c r="P32" s="98"/>
      <c r="Q32" s="69"/>
      <c r="R32" s="70"/>
      <c r="S32" s="69"/>
      <c r="T32" s="69"/>
      <c r="U32" s="69"/>
      <c r="V32" s="69"/>
      <c r="W32" s="69"/>
      <c r="X32" s="71"/>
      <c r="Y32" s="99"/>
      <c r="Z32" s="100">
        <f t="shared" si="8"/>
        <v>25</v>
      </c>
      <c r="AA32" s="51" t="s">
        <v>196</v>
      </c>
      <c r="AB32" s="297">
        <v>75</v>
      </c>
      <c r="AC32" s="297">
        <v>0</v>
      </c>
      <c r="AD32" s="298">
        <v>0</v>
      </c>
      <c r="AE32" s="298">
        <v>0</v>
      </c>
      <c r="AF32" s="298">
        <v>75</v>
      </c>
      <c r="AG32" s="297">
        <v>0</v>
      </c>
      <c r="AH32" s="298">
        <v>0</v>
      </c>
      <c r="AI32" s="298">
        <v>0</v>
      </c>
      <c r="AJ32" s="14"/>
      <c r="AK32" s="14"/>
      <c r="AL32" s="14"/>
      <c r="AM32" s="14"/>
    </row>
    <row r="33" spans="1:39" ht="18.75" customHeight="1" thickTop="1" thickBot="1" x14ac:dyDescent="0.35">
      <c r="A33" s="399" t="s">
        <v>165</v>
      </c>
      <c r="B33" s="400"/>
      <c r="C33" s="401"/>
      <c r="D33" s="401"/>
      <c r="E33" s="401"/>
      <c r="F33" s="401"/>
      <c r="G33" s="402"/>
      <c r="H33" s="101"/>
      <c r="I33" s="102">
        <f>SUM(I24:I32)</f>
        <v>15700</v>
      </c>
      <c r="J33" s="103" t="s">
        <v>27</v>
      </c>
      <c r="K33" s="104">
        <f>SUM(K24:K32)</f>
        <v>11775</v>
      </c>
      <c r="L33" s="105" t="s">
        <v>26</v>
      </c>
      <c r="M33" s="106">
        <f>SUM(M24:M32)</f>
        <v>3925</v>
      </c>
      <c r="N33" s="14"/>
      <c r="O33" s="107"/>
      <c r="P33" s="108"/>
      <c r="Q33" s="108"/>
      <c r="R33" s="108"/>
      <c r="S33" s="108"/>
      <c r="T33" s="101">
        <f>SUM(T24:T32)</f>
        <v>3600</v>
      </c>
      <c r="U33" s="109" t="s">
        <v>27</v>
      </c>
      <c r="V33" s="110">
        <f>SUM(V24:V32)</f>
        <v>0</v>
      </c>
      <c r="W33" s="111" t="s">
        <v>26</v>
      </c>
      <c r="X33" s="112">
        <f>SUM(X24:X32)</f>
        <v>3600</v>
      </c>
      <c r="Y33" s="113"/>
      <c r="Z33" s="114">
        <f>SUM(Z24:Z32)</f>
        <v>7525</v>
      </c>
      <c r="AA33" s="300"/>
      <c r="AB33" s="116"/>
      <c r="AC33" s="116"/>
      <c r="AD33" s="14"/>
      <c r="AE33" s="14"/>
      <c r="AF33" s="14"/>
      <c r="AG33" s="14"/>
      <c r="AH33" s="14"/>
      <c r="AI33" s="14"/>
      <c r="AJ33" s="14"/>
      <c r="AK33" s="14"/>
      <c r="AL33" s="14"/>
      <c r="AM33" s="14"/>
    </row>
    <row r="34" spans="1:39" ht="5.25" customHeight="1" thickBot="1" x14ac:dyDescent="0.3">
      <c r="A34" s="115"/>
      <c r="B34" s="115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16"/>
      <c r="Y34" s="14"/>
      <c r="Z34" s="14"/>
      <c r="AA34" s="287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ht="24" customHeight="1" x14ac:dyDescent="0.25">
      <c r="A35" s="117" t="s">
        <v>155</v>
      </c>
      <c r="B35" s="558" t="s">
        <v>150</v>
      </c>
      <c r="C35" s="118"/>
      <c r="D35" s="118"/>
      <c r="E35" s="118"/>
      <c r="F35" s="118"/>
      <c r="G35" s="403" t="s">
        <v>156</v>
      </c>
      <c r="H35" s="404"/>
      <c r="I35" s="404"/>
      <c r="J35" s="404"/>
      <c r="K35" s="404"/>
      <c r="L35" s="404"/>
      <c r="M35" s="405"/>
      <c r="N35" s="14"/>
      <c r="O35" s="119"/>
      <c r="P35" s="120"/>
      <c r="Q35" s="120"/>
      <c r="R35" s="470" t="s">
        <v>82</v>
      </c>
      <c r="S35" s="404"/>
      <c r="T35" s="404"/>
      <c r="U35" s="404"/>
      <c r="V35" s="404"/>
      <c r="W35" s="404"/>
      <c r="X35" s="405"/>
      <c r="Y35" s="14"/>
      <c r="Z35" s="471" t="str">
        <f>IF(Tarifs!$D$96=Tarifs!$B$102,"TOTAL Payable by the organization", "TOTAL Payable by the artist")</f>
        <v>TOTAL Payable by the artist</v>
      </c>
      <c r="AA35" s="301"/>
      <c r="AB35" s="297"/>
      <c r="AC35" s="297"/>
      <c r="AD35" s="299"/>
      <c r="AE35" s="299"/>
      <c r="AF35" s="299"/>
      <c r="AG35" s="299"/>
      <c r="AH35" s="299"/>
      <c r="AI35" s="299"/>
      <c r="AJ35" s="14"/>
      <c r="AK35" s="14"/>
      <c r="AL35" s="14"/>
      <c r="AM35" s="14"/>
    </row>
    <row r="36" spans="1:39" ht="24" x14ac:dyDescent="0.25">
      <c r="A36" s="121" t="s">
        <v>156</v>
      </c>
      <c r="B36" s="559"/>
      <c r="C36" s="473" t="s">
        <v>151</v>
      </c>
      <c r="D36" s="407"/>
      <c r="E36" s="408"/>
      <c r="F36" s="122"/>
      <c r="G36" s="122" t="s">
        <v>144</v>
      </c>
      <c r="H36" s="122"/>
      <c r="I36" s="122" t="s">
        <v>152</v>
      </c>
      <c r="J36" s="122"/>
      <c r="K36" s="122" t="str">
        <f>IFERROR(IF(OR($P$3=Tarifs!$A$94,$P$3=Tarifs!$A$95),"PRIM Support","PRIM Support "&amp;VLOOKUP($P$3,Tarifs!$A$94:$C$104,3,FALSE)*100&amp;"%"),"PRIM Support")</f>
        <v>PRIM Support 75%</v>
      </c>
      <c r="L36" s="122"/>
      <c r="M36" s="123" t="s">
        <v>25</v>
      </c>
      <c r="N36" s="14"/>
      <c r="O36" s="121" t="s">
        <v>154</v>
      </c>
      <c r="P36" s="124" t="s">
        <v>151</v>
      </c>
      <c r="Q36" s="122"/>
      <c r="R36" s="122" t="s">
        <v>144</v>
      </c>
      <c r="S36" s="124"/>
      <c r="T36" s="122" t="s">
        <v>152</v>
      </c>
      <c r="U36" s="122"/>
      <c r="V36" s="122" t="s">
        <v>153</v>
      </c>
      <c r="W36" s="122"/>
      <c r="X36" s="123" t="s">
        <v>25</v>
      </c>
      <c r="Y36" s="38"/>
      <c r="Z36" s="472"/>
      <c r="AA36" s="301"/>
      <c r="AB36" s="297"/>
      <c r="AC36" s="297"/>
      <c r="AD36" s="298"/>
      <c r="AE36" s="299"/>
      <c r="AF36" s="298"/>
      <c r="AG36" s="297"/>
      <c r="AH36" s="298"/>
      <c r="AI36" s="299"/>
      <c r="AJ36" s="14"/>
      <c r="AK36" s="14"/>
      <c r="AL36" s="14"/>
      <c r="AM36" s="14"/>
    </row>
    <row r="37" spans="1:39" ht="14.25" customHeight="1" x14ac:dyDescent="0.25">
      <c r="A37" s="342"/>
      <c r="B37" s="566"/>
      <c r="C37" s="527"/>
      <c r="D37" s="407"/>
      <c r="E37" s="408"/>
      <c r="F37" s="44" t="s">
        <v>1</v>
      </c>
      <c r="G37" s="45">
        <f>IF(A37="",0,VLOOKUP(A37,Tarifs!A$3:E$21,2,FALSE))</f>
        <v>0</v>
      </c>
      <c r="H37" s="46" t="s">
        <v>26</v>
      </c>
      <c r="I37" s="125">
        <f t="shared" ref="I37:I44" si="12">C37*G37</f>
        <v>0</v>
      </c>
      <c r="J37" s="48" t="s">
        <v>27</v>
      </c>
      <c r="K37" s="47">
        <f t="shared" ref="K37:K44" si="13">AF37</f>
        <v>0</v>
      </c>
      <c r="L37" s="48" t="s">
        <v>26</v>
      </c>
      <c r="M37" s="49">
        <f t="shared" ref="M37:M44" si="14">I37-K37</f>
        <v>0</v>
      </c>
      <c r="N37" s="14"/>
      <c r="O37" s="331" t="str">
        <f>IF(B37=0,"",B37)</f>
        <v/>
      </c>
      <c r="P37" s="86" t="str">
        <f>IF(OR(B37=Tarifs!$A$35,B37=Tarifs!$A$36,B37=""),"", C37)</f>
        <v/>
      </c>
      <c r="Q37" s="87" t="s">
        <v>1</v>
      </c>
      <c r="R37" s="53">
        <f>IF(B37="",0,VLOOKUP(B37,Techs_son_Tarifs,2,FALSE))</f>
        <v>0</v>
      </c>
      <c r="S37" s="88" t="s">
        <v>26</v>
      </c>
      <c r="T37" s="52">
        <f t="shared" ref="T37:T44" si="15">IF(P37="",0,R37*P37)</f>
        <v>0</v>
      </c>
      <c r="U37" s="87" t="s">
        <v>27</v>
      </c>
      <c r="V37" s="52">
        <f>IF(OR(T37=0,$P$8=0),0,IF(Tarifs!D$96=8,IF(P$8&gt;T37,T37,P$8),0))</f>
        <v>0</v>
      </c>
      <c r="W37" s="52" t="s">
        <v>26</v>
      </c>
      <c r="X37" s="54">
        <f t="shared" ref="X37:X44" si="16">T37-V37</f>
        <v>0</v>
      </c>
      <c r="Y37" s="52"/>
      <c r="Z37" s="89">
        <f t="shared" ref="Z37:Z44" si="17">M37+X37</f>
        <v>0</v>
      </c>
      <c r="AA37" s="51" t="s">
        <v>196</v>
      </c>
      <c r="AB37" s="297">
        <v>0</v>
      </c>
      <c r="AC37" s="297">
        <v>0</v>
      </c>
      <c r="AD37" s="298">
        <v>0</v>
      </c>
      <c r="AE37" s="298">
        <v>0</v>
      </c>
      <c r="AF37" s="298">
        <v>0</v>
      </c>
      <c r="AG37" s="297">
        <v>0</v>
      </c>
      <c r="AH37" s="298">
        <v>0</v>
      </c>
      <c r="AI37" s="298">
        <v>0</v>
      </c>
      <c r="AJ37" s="14"/>
      <c r="AK37" s="14"/>
      <c r="AL37" s="14"/>
      <c r="AM37" s="14"/>
    </row>
    <row r="38" spans="1:39" ht="14.25" customHeight="1" x14ac:dyDescent="0.25">
      <c r="A38" s="343"/>
      <c r="B38" s="567"/>
      <c r="C38" s="528"/>
      <c r="D38" s="407"/>
      <c r="E38" s="408"/>
      <c r="F38" s="57" t="s">
        <v>1</v>
      </c>
      <c r="G38" s="58">
        <f>IF(A38="",0,VLOOKUP(A38,Tarifs!A$3:E$21,2,FALSE))</f>
        <v>0</v>
      </c>
      <c r="H38" s="58" t="s">
        <v>26</v>
      </c>
      <c r="I38" s="126">
        <f t="shared" si="12"/>
        <v>0</v>
      </c>
      <c r="J38" s="60" t="s">
        <v>32</v>
      </c>
      <c r="K38" s="59">
        <f t="shared" si="13"/>
        <v>0</v>
      </c>
      <c r="L38" s="60" t="s">
        <v>26</v>
      </c>
      <c r="M38" s="61">
        <f t="shared" si="14"/>
        <v>0</v>
      </c>
      <c r="N38" s="14"/>
      <c r="O38" s="332" t="str">
        <f>IF(B38=0,"",B38)</f>
        <v/>
      </c>
      <c r="P38" s="127" t="str">
        <f>IF(OR(B38=Tarifs!$A$35,B38=Tarifs!$A$36,B38=""),"", C38)</f>
        <v/>
      </c>
      <c r="Q38" s="91" t="s">
        <v>1</v>
      </c>
      <c r="R38" s="92">
        <f>IF(B38="",0,VLOOKUP(B38,Techs_son_Tarifs,2,FALSE))</f>
        <v>0</v>
      </c>
      <c r="S38" s="91" t="s">
        <v>26</v>
      </c>
      <c r="T38" s="93">
        <f t="shared" si="15"/>
        <v>0</v>
      </c>
      <c r="U38" s="91" t="s">
        <v>27</v>
      </c>
      <c r="V38" s="93">
        <f>IF(OR(T38=0,$P$8=0),0,IF(Tarifs!D$96=8,IF(P$8&gt;T38,T38,P$8),0))</f>
        <v>0</v>
      </c>
      <c r="W38" s="93" t="s">
        <v>26</v>
      </c>
      <c r="X38" s="94">
        <f t="shared" si="16"/>
        <v>0</v>
      </c>
      <c r="Y38" s="52"/>
      <c r="Z38" s="95">
        <f t="shared" si="17"/>
        <v>0</v>
      </c>
      <c r="AA38" s="51" t="s">
        <v>196</v>
      </c>
      <c r="AB38" s="297">
        <v>0</v>
      </c>
      <c r="AC38" s="297">
        <v>0</v>
      </c>
      <c r="AD38" s="298">
        <v>0</v>
      </c>
      <c r="AE38" s="298">
        <v>0</v>
      </c>
      <c r="AF38" s="298">
        <v>0</v>
      </c>
      <c r="AG38" s="297">
        <v>0</v>
      </c>
      <c r="AH38" s="298">
        <v>0</v>
      </c>
      <c r="AI38" s="298">
        <v>0</v>
      </c>
      <c r="AJ38" s="14"/>
      <c r="AK38" s="14"/>
      <c r="AL38" s="14"/>
      <c r="AM38" s="14"/>
    </row>
    <row r="39" spans="1:39" ht="14.25" customHeight="1" x14ac:dyDescent="0.25">
      <c r="A39" s="342"/>
      <c r="B39" s="566"/>
      <c r="C39" s="527"/>
      <c r="D39" s="407"/>
      <c r="E39" s="408"/>
      <c r="F39" s="44" t="s">
        <v>1</v>
      </c>
      <c r="G39" s="45">
        <f>IF(A39="",0,VLOOKUP(A39,Tarifs!A$3:E$21,2,FALSE))</f>
        <v>0</v>
      </c>
      <c r="H39" s="45" t="s">
        <v>26</v>
      </c>
      <c r="I39" s="125">
        <f t="shared" si="12"/>
        <v>0</v>
      </c>
      <c r="J39" s="48" t="s">
        <v>32</v>
      </c>
      <c r="K39" s="47">
        <f t="shared" si="13"/>
        <v>0</v>
      </c>
      <c r="L39" s="48" t="s">
        <v>26</v>
      </c>
      <c r="M39" s="49">
        <f t="shared" si="14"/>
        <v>0</v>
      </c>
      <c r="N39" s="14"/>
      <c r="O39" s="331" t="str">
        <f t="shared" ref="O39:O44" si="18">IF(B39=0,"",B39)</f>
        <v/>
      </c>
      <c r="P39" s="86" t="str">
        <f>IF(OR(B39=Tarifs!$A$35,B39=Tarifs!$A$36,B39=""),"", C39)</f>
        <v/>
      </c>
      <c r="Q39" s="87" t="s">
        <v>1</v>
      </c>
      <c r="R39" s="53">
        <f t="shared" ref="R39:R44" si="19">IF(B39="",0,VLOOKUP(B39,Techs_son_Tarifs,2,FALSE))</f>
        <v>0</v>
      </c>
      <c r="S39" s="87" t="s">
        <v>26</v>
      </c>
      <c r="T39" s="52">
        <f t="shared" si="15"/>
        <v>0</v>
      </c>
      <c r="U39" s="87" t="s">
        <v>27</v>
      </c>
      <c r="V39" s="52">
        <f>IF(OR(T39=0,$P$8=0),0,IF(Tarifs!D$96=8,IF(P$8&gt;T39,T39,P$8),0))</f>
        <v>0</v>
      </c>
      <c r="W39" s="52" t="s">
        <v>26</v>
      </c>
      <c r="X39" s="54">
        <f t="shared" si="16"/>
        <v>0</v>
      </c>
      <c r="Y39" s="52"/>
      <c r="Z39" s="89">
        <f t="shared" si="17"/>
        <v>0</v>
      </c>
      <c r="AA39" s="51" t="s">
        <v>196</v>
      </c>
      <c r="AB39" s="297">
        <v>0</v>
      </c>
      <c r="AC39" s="297">
        <v>0</v>
      </c>
      <c r="AD39" s="298">
        <v>0</v>
      </c>
      <c r="AE39" s="298">
        <v>0</v>
      </c>
      <c r="AF39" s="298">
        <v>0</v>
      </c>
      <c r="AG39" s="297">
        <v>0</v>
      </c>
      <c r="AH39" s="298">
        <v>0</v>
      </c>
      <c r="AI39" s="298">
        <v>0</v>
      </c>
      <c r="AJ39" s="14"/>
      <c r="AK39" s="14"/>
      <c r="AL39" s="14"/>
      <c r="AM39" s="14"/>
    </row>
    <row r="40" spans="1:39" ht="14.25" customHeight="1" x14ac:dyDescent="0.25">
      <c r="A40" s="343"/>
      <c r="B40" s="567"/>
      <c r="C40" s="528"/>
      <c r="D40" s="407"/>
      <c r="E40" s="408"/>
      <c r="F40" s="57" t="s">
        <v>1</v>
      </c>
      <c r="G40" s="58">
        <f>IF(A40="",0,VLOOKUP(A40,Tarifs!A$3:E$21,2,FALSE))</f>
        <v>0</v>
      </c>
      <c r="H40" s="58" t="s">
        <v>26</v>
      </c>
      <c r="I40" s="126">
        <f t="shared" si="12"/>
        <v>0</v>
      </c>
      <c r="J40" s="60" t="s">
        <v>32</v>
      </c>
      <c r="K40" s="59">
        <f t="shared" si="13"/>
        <v>0</v>
      </c>
      <c r="L40" s="60" t="s">
        <v>26</v>
      </c>
      <c r="M40" s="61">
        <f t="shared" si="14"/>
        <v>0</v>
      </c>
      <c r="N40" s="14"/>
      <c r="O40" s="332" t="str">
        <f t="shared" si="18"/>
        <v/>
      </c>
      <c r="P40" s="127" t="str">
        <f>IF(OR(B40=Tarifs!$A$35,B40=Tarifs!$A$36,B40=""),"", C40)</f>
        <v/>
      </c>
      <c r="Q40" s="91" t="s">
        <v>1</v>
      </c>
      <c r="R40" s="92">
        <f t="shared" si="19"/>
        <v>0</v>
      </c>
      <c r="S40" s="91" t="s">
        <v>26</v>
      </c>
      <c r="T40" s="93">
        <f t="shared" si="15"/>
        <v>0</v>
      </c>
      <c r="U40" s="91" t="s">
        <v>27</v>
      </c>
      <c r="V40" s="93">
        <f>IF(OR(T40=0,$P$8=0),0,IF(Tarifs!D$96=8,IF(P$8&gt;T40,T40,P$8),0))</f>
        <v>0</v>
      </c>
      <c r="W40" s="93" t="s">
        <v>26</v>
      </c>
      <c r="X40" s="94">
        <f t="shared" si="16"/>
        <v>0</v>
      </c>
      <c r="Y40" s="52"/>
      <c r="Z40" s="95">
        <f t="shared" si="17"/>
        <v>0</v>
      </c>
      <c r="AA40" s="51" t="s">
        <v>196</v>
      </c>
      <c r="AB40" s="297">
        <v>0</v>
      </c>
      <c r="AC40" s="297">
        <v>0</v>
      </c>
      <c r="AD40" s="298">
        <v>0</v>
      </c>
      <c r="AE40" s="298">
        <v>0</v>
      </c>
      <c r="AF40" s="298">
        <v>0</v>
      </c>
      <c r="AG40" s="297">
        <v>0</v>
      </c>
      <c r="AH40" s="298">
        <v>0</v>
      </c>
      <c r="AI40" s="298">
        <v>0</v>
      </c>
      <c r="AJ40" s="14"/>
      <c r="AK40" s="14"/>
      <c r="AL40" s="14"/>
      <c r="AM40" s="14"/>
    </row>
    <row r="41" spans="1:39" ht="14.25" customHeight="1" x14ac:dyDescent="0.25">
      <c r="A41" s="342"/>
      <c r="B41" s="566"/>
      <c r="C41" s="527"/>
      <c r="D41" s="407"/>
      <c r="E41" s="408"/>
      <c r="F41" s="44" t="s">
        <v>1</v>
      </c>
      <c r="G41" s="45">
        <f>IF(A41="",0,VLOOKUP(A41,Tarifs!A$3:E$21,2,FALSE))</f>
        <v>0</v>
      </c>
      <c r="H41" s="45" t="s">
        <v>26</v>
      </c>
      <c r="I41" s="125">
        <f t="shared" si="12"/>
        <v>0</v>
      </c>
      <c r="J41" s="48" t="s">
        <v>32</v>
      </c>
      <c r="K41" s="47">
        <f t="shared" si="13"/>
        <v>0</v>
      </c>
      <c r="L41" s="48" t="s">
        <v>26</v>
      </c>
      <c r="M41" s="49">
        <f t="shared" si="14"/>
        <v>0</v>
      </c>
      <c r="N41" s="14"/>
      <c r="O41" s="331" t="str">
        <f t="shared" si="18"/>
        <v/>
      </c>
      <c r="P41" s="86" t="str">
        <f>IF(OR(B41=Tarifs!$A$35,B41=Tarifs!$A$36,B41=""),"", C41)</f>
        <v/>
      </c>
      <c r="Q41" s="87" t="s">
        <v>1</v>
      </c>
      <c r="R41" s="53">
        <f t="shared" si="19"/>
        <v>0</v>
      </c>
      <c r="S41" s="87" t="s">
        <v>26</v>
      </c>
      <c r="T41" s="52">
        <f t="shared" si="15"/>
        <v>0</v>
      </c>
      <c r="U41" s="87" t="s">
        <v>27</v>
      </c>
      <c r="V41" s="52">
        <f>IF(OR(T41=0,$P$8=0),0,IF(Tarifs!D$96=8,IF(P$8&gt;T41,T41,P$8),0))</f>
        <v>0</v>
      </c>
      <c r="W41" s="52" t="s">
        <v>26</v>
      </c>
      <c r="X41" s="54">
        <f t="shared" si="16"/>
        <v>0</v>
      </c>
      <c r="Y41" s="52"/>
      <c r="Z41" s="89">
        <f t="shared" si="17"/>
        <v>0</v>
      </c>
      <c r="AA41" s="51" t="s">
        <v>196</v>
      </c>
      <c r="AB41" s="297">
        <v>0</v>
      </c>
      <c r="AC41" s="297">
        <v>0</v>
      </c>
      <c r="AD41" s="298">
        <v>0</v>
      </c>
      <c r="AE41" s="298">
        <v>0</v>
      </c>
      <c r="AF41" s="298">
        <v>0</v>
      </c>
      <c r="AG41" s="297">
        <v>0</v>
      </c>
      <c r="AH41" s="298">
        <v>0</v>
      </c>
      <c r="AI41" s="298">
        <v>0</v>
      </c>
      <c r="AJ41" s="14"/>
      <c r="AK41" s="14"/>
      <c r="AL41" s="14"/>
      <c r="AM41" s="14"/>
    </row>
    <row r="42" spans="1:39" ht="14.25" customHeight="1" x14ac:dyDescent="0.25">
      <c r="A42" s="343"/>
      <c r="B42" s="567"/>
      <c r="C42" s="528"/>
      <c r="D42" s="407"/>
      <c r="E42" s="408"/>
      <c r="F42" s="57" t="s">
        <v>1</v>
      </c>
      <c r="G42" s="58">
        <f>IF(A42="",0,VLOOKUP(A42,Tarifs!A$3:E$21,2,FALSE))</f>
        <v>0</v>
      </c>
      <c r="H42" s="58" t="s">
        <v>26</v>
      </c>
      <c r="I42" s="126">
        <f t="shared" si="12"/>
        <v>0</v>
      </c>
      <c r="J42" s="60" t="s">
        <v>32</v>
      </c>
      <c r="K42" s="59">
        <f t="shared" si="13"/>
        <v>0</v>
      </c>
      <c r="L42" s="60" t="s">
        <v>26</v>
      </c>
      <c r="M42" s="61">
        <f t="shared" si="14"/>
        <v>0</v>
      </c>
      <c r="N42" s="14"/>
      <c r="O42" s="332" t="str">
        <f t="shared" si="18"/>
        <v/>
      </c>
      <c r="P42" s="127" t="str">
        <f>IF(OR(B42=Tarifs!$A$35,B42=Tarifs!$A$36,B42=""),"", C42)</f>
        <v/>
      </c>
      <c r="Q42" s="91" t="s">
        <v>1</v>
      </c>
      <c r="R42" s="92">
        <f t="shared" si="19"/>
        <v>0</v>
      </c>
      <c r="S42" s="91" t="s">
        <v>26</v>
      </c>
      <c r="T42" s="93">
        <f t="shared" si="15"/>
        <v>0</v>
      </c>
      <c r="U42" s="91" t="s">
        <v>27</v>
      </c>
      <c r="V42" s="93">
        <f>IF(OR(T42=0,$P$8=0),0,IF(Tarifs!D$96=8,IF(P$8&gt;T42,T42,P$8),0))</f>
        <v>0</v>
      </c>
      <c r="W42" s="93" t="s">
        <v>26</v>
      </c>
      <c r="X42" s="94">
        <f t="shared" si="16"/>
        <v>0</v>
      </c>
      <c r="Y42" s="52"/>
      <c r="Z42" s="95">
        <f t="shared" si="17"/>
        <v>0</v>
      </c>
      <c r="AA42" s="51" t="s">
        <v>196</v>
      </c>
      <c r="AB42" s="297">
        <v>0</v>
      </c>
      <c r="AC42" s="297">
        <v>0</v>
      </c>
      <c r="AD42" s="298">
        <v>0</v>
      </c>
      <c r="AE42" s="298">
        <v>0</v>
      </c>
      <c r="AF42" s="298">
        <v>0</v>
      </c>
      <c r="AG42" s="297">
        <v>0</v>
      </c>
      <c r="AH42" s="298">
        <v>0</v>
      </c>
      <c r="AI42" s="298">
        <v>0</v>
      </c>
      <c r="AJ42" s="14"/>
      <c r="AK42" s="14"/>
      <c r="AL42" s="14"/>
      <c r="AM42" s="14"/>
    </row>
    <row r="43" spans="1:39" ht="14.25" customHeight="1" x14ac:dyDescent="0.25">
      <c r="A43" s="342"/>
      <c r="B43" s="566"/>
      <c r="C43" s="527"/>
      <c r="D43" s="407"/>
      <c r="E43" s="408"/>
      <c r="F43" s="44" t="s">
        <v>1</v>
      </c>
      <c r="G43" s="45">
        <f>IF(A43="",0,VLOOKUP(A43,Tarifs!A$3:E$21,2,FALSE))</f>
        <v>0</v>
      </c>
      <c r="H43" s="45" t="s">
        <v>26</v>
      </c>
      <c r="I43" s="125">
        <f t="shared" si="12"/>
        <v>0</v>
      </c>
      <c r="J43" s="48" t="s">
        <v>32</v>
      </c>
      <c r="K43" s="47">
        <f t="shared" si="13"/>
        <v>0</v>
      </c>
      <c r="L43" s="48" t="s">
        <v>26</v>
      </c>
      <c r="M43" s="49">
        <f t="shared" si="14"/>
        <v>0</v>
      </c>
      <c r="N43" s="14"/>
      <c r="O43" s="331" t="str">
        <f t="shared" si="18"/>
        <v/>
      </c>
      <c r="P43" s="86" t="str">
        <f>IF(OR(B43=Tarifs!$A$35,B43=Tarifs!$A$36,B43=""),"", C43)</f>
        <v/>
      </c>
      <c r="Q43" s="87" t="s">
        <v>1</v>
      </c>
      <c r="R43" s="53">
        <f t="shared" si="19"/>
        <v>0</v>
      </c>
      <c r="S43" s="87" t="s">
        <v>26</v>
      </c>
      <c r="T43" s="52">
        <f t="shared" si="15"/>
        <v>0</v>
      </c>
      <c r="U43" s="87" t="s">
        <v>27</v>
      </c>
      <c r="V43" s="52">
        <f>IF(OR(T43=0,$P$8=0),0,IF(Tarifs!D$96=8,IF(P$8&gt;T43,T43,P$8),0))</f>
        <v>0</v>
      </c>
      <c r="W43" s="52" t="s">
        <v>26</v>
      </c>
      <c r="X43" s="54">
        <f t="shared" si="16"/>
        <v>0</v>
      </c>
      <c r="Y43" s="52"/>
      <c r="Z43" s="89">
        <f t="shared" si="17"/>
        <v>0</v>
      </c>
      <c r="AA43" s="51" t="s">
        <v>196</v>
      </c>
      <c r="AB43" s="297">
        <v>0</v>
      </c>
      <c r="AC43" s="297">
        <v>0</v>
      </c>
      <c r="AD43" s="298">
        <v>0</v>
      </c>
      <c r="AE43" s="298">
        <v>0</v>
      </c>
      <c r="AF43" s="298">
        <v>0</v>
      </c>
      <c r="AG43" s="297">
        <v>0</v>
      </c>
      <c r="AH43" s="298">
        <v>0</v>
      </c>
      <c r="AI43" s="298">
        <v>0</v>
      </c>
      <c r="AJ43" s="14"/>
      <c r="AK43" s="14"/>
      <c r="AL43" s="14"/>
      <c r="AM43" s="14"/>
    </row>
    <row r="44" spans="1:39" ht="14.25" customHeight="1" thickBot="1" x14ac:dyDescent="0.3">
      <c r="A44" s="344"/>
      <c r="B44" s="568"/>
      <c r="C44" s="529"/>
      <c r="D44" s="530"/>
      <c r="E44" s="531"/>
      <c r="F44" s="128" t="s">
        <v>1</v>
      </c>
      <c r="G44" s="129">
        <f>IF(A44="",0,VLOOKUP(A44,Tarifs!A$3:E$21,2,FALSE))</f>
        <v>0</v>
      </c>
      <c r="H44" s="129" t="s">
        <v>26</v>
      </c>
      <c r="I44" s="130">
        <f t="shared" si="12"/>
        <v>0</v>
      </c>
      <c r="J44" s="131" t="s">
        <v>32</v>
      </c>
      <c r="K44" s="132">
        <f t="shared" si="13"/>
        <v>0</v>
      </c>
      <c r="L44" s="131" t="s">
        <v>26</v>
      </c>
      <c r="M44" s="133">
        <f t="shared" si="14"/>
        <v>0</v>
      </c>
      <c r="N44" s="14"/>
      <c r="O44" s="333" t="str">
        <f t="shared" si="18"/>
        <v/>
      </c>
      <c r="P44" s="134" t="str">
        <f>IF(OR(B44=Tarifs!$A$35,B44=Tarifs!$A$36,B44=""),"", C44)</f>
        <v/>
      </c>
      <c r="Q44" s="135" t="s">
        <v>1</v>
      </c>
      <c r="R44" s="136">
        <f t="shared" si="19"/>
        <v>0</v>
      </c>
      <c r="S44" s="135" t="s">
        <v>26</v>
      </c>
      <c r="T44" s="137">
        <f t="shared" si="15"/>
        <v>0</v>
      </c>
      <c r="U44" s="135" t="s">
        <v>27</v>
      </c>
      <c r="V44" s="137">
        <f>IF(OR(T44=0,$P$8=0),0,IF(Tarifs!D$96=8,IF(P$8&gt;T44,T44,P$8),0))</f>
        <v>0</v>
      </c>
      <c r="W44" s="137" t="s">
        <v>26</v>
      </c>
      <c r="X44" s="138">
        <f t="shared" si="16"/>
        <v>0</v>
      </c>
      <c r="Y44" s="52"/>
      <c r="Z44" s="139">
        <f t="shared" si="17"/>
        <v>0</v>
      </c>
      <c r="AA44" s="51" t="s">
        <v>196</v>
      </c>
      <c r="AB44" s="297">
        <v>0</v>
      </c>
      <c r="AC44" s="297">
        <v>0</v>
      </c>
      <c r="AD44" s="298">
        <v>0</v>
      </c>
      <c r="AE44" s="298">
        <v>0</v>
      </c>
      <c r="AF44" s="298">
        <v>0</v>
      </c>
      <c r="AG44" s="297">
        <v>0</v>
      </c>
      <c r="AH44" s="298">
        <v>0</v>
      </c>
      <c r="AI44" s="298">
        <v>0</v>
      </c>
      <c r="AJ44" s="14"/>
      <c r="AK44" s="14"/>
      <c r="AL44" s="14"/>
      <c r="AM44" s="14"/>
    </row>
    <row r="45" spans="1:39" ht="18.75" customHeight="1" thickTop="1" thickBot="1" x14ac:dyDescent="0.35">
      <c r="A45" s="487" t="s">
        <v>164</v>
      </c>
      <c r="B45" s="488"/>
      <c r="C45" s="401"/>
      <c r="D45" s="401"/>
      <c r="E45" s="401"/>
      <c r="F45" s="401"/>
      <c r="G45" s="402"/>
      <c r="H45" s="140"/>
      <c r="I45" s="141">
        <f>SUM(I37:I44)</f>
        <v>0</v>
      </c>
      <c r="J45" s="142" t="s">
        <v>27</v>
      </c>
      <c r="K45" s="143">
        <f>SUM(K37:K44)</f>
        <v>0</v>
      </c>
      <c r="L45" s="144" t="s">
        <v>26</v>
      </c>
      <c r="M45" s="145">
        <f>SUM(M37:M44)</f>
        <v>0</v>
      </c>
      <c r="N45" s="14"/>
      <c r="O45" s="146"/>
      <c r="P45" s="147"/>
      <c r="Q45" s="147"/>
      <c r="R45" s="147"/>
      <c r="S45" s="147"/>
      <c r="T45" s="140">
        <f>SUM(T37:T44)</f>
        <v>0</v>
      </c>
      <c r="U45" s="148" t="s">
        <v>27</v>
      </c>
      <c r="V45" s="143">
        <f>SUM(V37:V44)</f>
        <v>0</v>
      </c>
      <c r="W45" s="144" t="s">
        <v>26</v>
      </c>
      <c r="X45" s="149">
        <f>SUM(X37:X44)</f>
        <v>0</v>
      </c>
      <c r="Y45" s="113"/>
      <c r="Z45" s="150">
        <f>SUM(Z37:Z44)</f>
        <v>0</v>
      </c>
      <c r="AA45" s="51"/>
      <c r="AB45" s="116"/>
      <c r="AC45" s="116"/>
      <c r="AD45" s="14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 ht="6" customHeight="1" thickBot="1" x14ac:dyDescent="0.3">
      <c r="A46" s="115"/>
      <c r="B46" s="115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16"/>
      <c r="Y46" s="113"/>
      <c r="Z46" s="14"/>
      <c r="AA46" s="287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</row>
    <row r="47" spans="1:39" ht="25.5" customHeight="1" x14ac:dyDescent="0.25">
      <c r="A47" s="151" t="s">
        <v>163</v>
      </c>
      <c r="B47" s="307"/>
      <c r="C47" s="152"/>
      <c r="D47" s="152"/>
      <c r="E47" s="152"/>
      <c r="F47" s="152"/>
      <c r="G47" s="489" t="s">
        <v>157</v>
      </c>
      <c r="H47" s="404"/>
      <c r="I47" s="404"/>
      <c r="J47" s="404"/>
      <c r="K47" s="404"/>
      <c r="L47" s="404"/>
      <c r="M47" s="405"/>
      <c r="N47" s="14"/>
      <c r="O47" s="153"/>
      <c r="P47" s="152"/>
      <c r="Q47" s="152"/>
      <c r="R47" s="490" t="s">
        <v>82</v>
      </c>
      <c r="S47" s="404"/>
      <c r="T47" s="404"/>
      <c r="U47" s="404"/>
      <c r="V47" s="404"/>
      <c r="W47" s="404"/>
      <c r="X47" s="405"/>
      <c r="Y47" s="113"/>
      <c r="Z47" s="491" t="str">
        <f>IF(Tarifs!$D$96=Tarifs!$B$102,"TOTAL Payable by the organization", "TOTAL Payable by the artist")</f>
        <v>TOTAL Payable by the artist</v>
      </c>
      <c r="AA47" s="301"/>
      <c r="AB47" s="297"/>
      <c r="AC47" s="297"/>
      <c r="AD47" s="299"/>
      <c r="AE47" s="299"/>
      <c r="AF47" s="299"/>
      <c r="AG47" s="299"/>
      <c r="AH47" s="299"/>
      <c r="AI47" s="299"/>
      <c r="AJ47" s="14"/>
      <c r="AK47" s="14"/>
      <c r="AL47" s="14"/>
      <c r="AM47" s="14"/>
    </row>
    <row r="48" spans="1:39" ht="24" x14ac:dyDescent="0.25">
      <c r="A48" s="154" t="s">
        <v>158</v>
      </c>
      <c r="B48" s="308"/>
      <c r="C48" s="492" t="s">
        <v>151</v>
      </c>
      <c r="D48" s="407"/>
      <c r="E48" s="408"/>
      <c r="F48" s="155"/>
      <c r="G48" s="155" t="s">
        <v>144</v>
      </c>
      <c r="H48" s="155"/>
      <c r="I48" s="155" t="s">
        <v>152</v>
      </c>
      <c r="J48" s="155"/>
      <c r="K48" s="155" t="str">
        <f>IFERROR(IF(OR($P$3=Tarifs!$A$94,$P$3=Tarifs!$A$95),"PRIM Support","PRIM Support "&amp;VLOOKUP($P$3,Tarifs!$A$94:$C$104,3,FALSE)*100&amp;"%"),"PRIM Support")</f>
        <v>PRIM Support 75%</v>
      </c>
      <c r="L48" s="155"/>
      <c r="M48" s="156" t="s">
        <v>25</v>
      </c>
      <c r="N48" s="14"/>
      <c r="O48" s="157" t="s">
        <v>154</v>
      </c>
      <c r="P48" s="158" t="s">
        <v>151</v>
      </c>
      <c r="Q48" s="155"/>
      <c r="R48" s="155" t="s">
        <v>144</v>
      </c>
      <c r="S48" s="158"/>
      <c r="T48" s="155" t="s">
        <v>152</v>
      </c>
      <c r="U48" s="155"/>
      <c r="V48" s="155" t="s">
        <v>153</v>
      </c>
      <c r="W48" s="155"/>
      <c r="X48" s="156" t="s">
        <v>25</v>
      </c>
      <c r="Y48" s="113"/>
      <c r="Z48" s="472"/>
      <c r="AA48" s="301"/>
      <c r="AB48" s="297"/>
      <c r="AC48" s="297"/>
      <c r="AD48" s="298"/>
      <c r="AE48" s="299"/>
      <c r="AF48" s="298"/>
      <c r="AG48" s="297"/>
      <c r="AH48" s="298"/>
      <c r="AI48" s="299"/>
      <c r="AJ48" s="14"/>
      <c r="AK48" s="14"/>
      <c r="AL48" s="14"/>
      <c r="AM48" s="14"/>
    </row>
    <row r="49" spans="1:39" ht="14.25" customHeight="1" x14ac:dyDescent="0.25">
      <c r="A49" s="159" t="s">
        <v>158</v>
      </c>
      <c r="B49" s="309"/>
      <c r="C49" s="532"/>
      <c r="D49" s="407"/>
      <c r="E49" s="408"/>
      <c r="F49" s="51" t="s">
        <v>1</v>
      </c>
      <c r="G49" s="45">
        <f>VLOOKUP(A49,Tarifs!A$3:E$21,2,FALSE)</f>
        <v>50</v>
      </c>
      <c r="H49" s="46" t="s">
        <v>26</v>
      </c>
      <c r="I49" s="47">
        <f>C49*G49</f>
        <v>0</v>
      </c>
      <c r="J49" s="48" t="s">
        <v>27</v>
      </c>
      <c r="K49" s="47">
        <f>AF49</f>
        <v>0</v>
      </c>
      <c r="L49" s="48" t="s">
        <v>26</v>
      </c>
      <c r="M49" s="49">
        <f>I49-K49</f>
        <v>0</v>
      </c>
      <c r="N49" s="14"/>
      <c r="O49" s="160" t="str">
        <f>Techs_TR</f>
        <v>Video Technician (Exports)</v>
      </c>
      <c r="P49" s="367">
        <f>IF(C49&lt;=1,C49,C49/2)</f>
        <v>0</v>
      </c>
      <c r="Q49" s="161" t="s">
        <v>1</v>
      </c>
      <c r="R49" s="162">
        <f>Tarifs!B45</f>
        <v>30</v>
      </c>
      <c r="S49" s="163" t="s">
        <v>26</v>
      </c>
      <c r="T49" s="164">
        <f>IF(P49="",0,R49*P49)</f>
        <v>0</v>
      </c>
      <c r="U49" s="161" t="s">
        <v>27</v>
      </c>
      <c r="V49" s="164">
        <f>IF(OR(T49=0,$P$8=0),0,IF(Tarifs!D$96=8,IF(P$8&gt;T49,T49,P$8),0))</f>
        <v>0</v>
      </c>
      <c r="W49" s="164" t="s">
        <v>26</v>
      </c>
      <c r="X49" s="165">
        <f>T49-V49</f>
        <v>0</v>
      </c>
      <c r="Y49" s="113"/>
      <c r="Z49" s="89">
        <f>M49+X49</f>
        <v>0</v>
      </c>
      <c r="AA49" s="52"/>
      <c r="AB49" s="297">
        <v>0</v>
      </c>
      <c r="AC49" s="297">
        <v>0</v>
      </c>
      <c r="AD49" s="298">
        <v>0</v>
      </c>
      <c r="AE49" s="298">
        <v>0</v>
      </c>
      <c r="AF49" s="298">
        <v>0</v>
      </c>
      <c r="AG49" s="297">
        <v>0</v>
      </c>
      <c r="AH49" s="298">
        <v>0</v>
      </c>
      <c r="AI49" s="298">
        <v>0</v>
      </c>
      <c r="AJ49" s="14"/>
      <c r="AK49" s="14"/>
      <c r="AL49" s="14"/>
      <c r="AM49" s="14"/>
    </row>
    <row r="50" spans="1:39" ht="15" customHeight="1" x14ac:dyDescent="0.25">
      <c r="A50" s="154" t="s">
        <v>4</v>
      </c>
      <c r="B50" s="308"/>
      <c r="C50" s="155" t="s">
        <v>23</v>
      </c>
      <c r="D50" s="166"/>
      <c r="E50" s="155" t="s">
        <v>24</v>
      </c>
      <c r="F50" s="155"/>
      <c r="G50" s="155" t="s">
        <v>10</v>
      </c>
      <c r="H50" s="155"/>
      <c r="I50" s="155"/>
      <c r="J50" s="155"/>
      <c r="K50" s="155"/>
      <c r="L50" s="155"/>
      <c r="M50" s="156"/>
      <c r="N50" s="14"/>
      <c r="O50" s="167"/>
      <c r="P50" s="155"/>
      <c r="Q50" s="155"/>
      <c r="R50" s="155"/>
      <c r="S50" s="155"/>
      <c r="T50" s="155"/>
      <c r="U50" s="155"/>
      <c r="V50" s="168"/>
      <c r="W50" s="155"/>
      <c r="X50" s="169"/>
      <c r="Y50" s="113"/>
      <c r="Z50" s="170"/>
      <c r="AA50" s="52"/>
      <c r="AB50" s="297">
        <v>0</v>
      </c>
      <c r="AC50" s="297">
        <v>0</v>
      </c>
      <c r="AD50" s="298">
        <v>0</v>
      </c>
      <c r="AE50" s="298">
        <v>0</v>
      </c>
      <c r="AF50" s="298">
        <v>0</v>
      </c>
      <c r="AG50" s="297">
        <v>0</v>
      </c>
      <c r="AH50" s="298">
        <v>0</v>
      </c>
      <c r="AI50" s="298">
        <v>0</v>
      </c>
      <c r="AJ50" s="14"/>
      <c r="AK50" s="14"/>
      <c r="AL50" s="14"/>
      <c r="AM50" s="14"/>
    </row>
    <row r="51" spans="1:39" ht="15" customHeight="1" x14ac:dyDescent="0.25">
      <c r="A51" s="159" t="s">
        <v>75</v>
      </c>
      <c r="B51" s="309"/>
      <c r="C51" s="345">
        <v>1</v>
      </c>
      <c r="D51" s="171" t="s">
        <v>1</v>
      </c>
      <c r="E51" s="172">
        <f>IF(DUREE="",0,IF(DUREE&lt;15,"N/A",DUREE))</f>
        <v>65</v>
      </c>
      <c r="F51" s="51" t="s">
        <v>1</v>
      </c>
      <c r="G51" s="45">
        <f>VLOOKUP(A51,Tarifs!A$20:E$30,2,FALSE)</f>
        <v>20</v>
      </c>
      <c r="H51" s="46" t="s">
        <v>26</v>
      </c>
      <c r="I51" s="47">
        <f>IF(ISNUMBER(E51),C51*E51*G51,0)</f>
        <v>1300</v>
      </c>
      <c r="J51" s="48" t="s">
        <v>27</v>
      </c>
      <c r="K51" s="47">
        <f t="shared" ref="K51:K53" si="20">AF51</f>
        <v>975</v>
      </c>
      <c r="L51" s="48" t="s">
        <v>26</v>
      </c>
      <c r="M51" s="49">
        <f t="shared" ref="M51:M53" si="21">I51-K51</f>
        <v>325</v>
      </c>
      <c r="N51" s="14"/>
      <c r="O51" s="173" t="s">
        <v>172</v>
      </c>
      <c r="P51" s="174"/>
      <c r="Q51" s="174"/>
      <c r="R51" s="174"/>
      <c r="S51" s="174"/>
      <c r="T51" s="174"/>
      <c r="U51" s="174"/>
      <c r="V51" s="175"/>
      <c r="W51" s="174"/>
      <c r="X51" s="176"/>
      <c r="Y51" s="113"/>
      <c r="Z51" s="89">
        <f t="shared" ref="Z51:Z53" si="22">M51+X51</f>
        <v>325</v>
      </c>
      <c r="AA51" s="52"/>
      <c r="AB51" s="297">
        <v>975</v>
      </c>
      <c r="AC51" s="297">
        <v>0</v>
      </c>
      <c r="AD51" s="298">
        <v>0</v>
      </c>
      <c r="AE51" s="298">
        <v>0</v>
      </c>
      <c r="AF51" s="298">
        <v>975</v>
      </c>
      <c r="AG51" s="297">
        <v>0</v>
      </c>
      <c r="AH51" s="298">
        <v>0</v>
      </c>
      <c r="AI51" s="298">
        <v>0</v>
      </c>
      <c r="AJ51" s="14"/>
      <c r="AK51" s="14"/>
      <c r="AL51" s="14"/>
      <c r="AM51" s="14"/>
    </row>
    <row r="52" spans="1:39" ht="15" customHeight="1" x14ac:dyDescent="0.25">
      <c r="A52" s="177" t="s">
        <v>76</v>
      </c>
      <c r="B52" s="310"/>
      <c r="C52" s="534"/>
      <c r="D52" s="407"/>
      <c r="E52" s="517"/>
      <c r="F52" s="178" t="s">
        <v>1</v>
      </c>
      <c r="G52" s="58">
        <f>VLOOKUP(A52,Tarifs!A$20:E$30,2,FALSE)</f>
        <v>12</v>
      </c>
      <c r="H52" s="179" t="s">
        <v>26</v>
      </c>
      <c r="I52" s="59">
        <f t="shared" ref="I52:I53" si="23">C52*G52</f>
        <v>0</v>
      </c>
      <c r="J52" s="60" t="s">
        <v>27</v>
      </c>
      <c r="K52" s="59">
        <f t="shared" si="20"/>
        <v>0</v>
      </c>
      <c r="L52" s="60" t="s">
        <v>26</v>
      </c>
      <c r="M52" s="61">
        <f t="shared" si="21"/>
        <v>0</v>
      </c>
      <c r="N52" s="14"/>
      <c r="O52" s="180" t="s">
        <v>172</v>
      </c>
      <c r="P52" s="181"/>
      <c r="Q52" s="181"/>
      <c r="R52" s="181"/>
      <c r="S52" s="181"/>
      <c r="T52" s="181"/>
      <c r="U52" s="181"/>
      <c r="V52" s="182"/>
      <c r="W52" s="181"/>
      <c r="X52" s="183"/>
      <c r="Y52" s="113"/>
      <c r="Z52" s="95">
        <f t="shared" si="22"/>
        <v>0</v>
      </c>
      <c r="AA52" s="52"/>
      <c r="AB52" s="297">
        <v>0</v>
      </c>
      <c r="AC52" s="297">
        <v>0</v>
      </c>
      <c r="AD52" s="298">
        <v>0</v>
      </c>
      <c r="AE52" s="298">
        <v>0</v>
      </c>
      <c r="AF52" s="298">
        <v>0</v>
      </c>
      <c r="AG52" s="297">
        <v>0</v>
      </c>
      <c r="AH52" s="298">
        <v>0</v>
      </c>
      <c r="AI52" s="298">
        <v>0</v>
      </c>
      <c r="AJ52" s="14"/>
      <c r="AK52" s="14"/>
      <c r="AL52" s="14"/>
      <c r="AM52" s="14"/>
    </row>
    <row r="53" spans="1:39" ht="15" customHeight="1" x14ac:dyDescent="0.25">
      <c r="A53" s="159" t="s">
        <v>77</v>
      </c>
      <c r="B53" s="309"/>
      <c r="C53" s="533"/>
      <c r="D53" s="407"/>
      <c r="E53" s="517"/>
      <c r="F53" s="184" t="s">
        <v>1</v>
      </c>
      <c r="G53" s="45">
        <f>VLOOKUP(A53,Tarifs!A$20:E$30,2,FALSE)</f>
        <v>300</v>
      </c>
      <c r="H53" s="46" t="s">
        <v>26</v>
      </c>
      <c r="I53" s="47">
        <f t="shared" si="23"/>
        <v>0</v>
      </c>
      <c r="J53" s="48" t="s">
        <v>27</v>
      </c>
      <c r="K53" s="47">
        <f t="shared" si="20"/>
        <v>0</v>
      </c>
      <c r="L53" s="48" t="s">
        <v>26</v>
      </c>
      <c r="M53" s="49">
        <f t="shared" si="21"/>
        <v>0</v>
      </c>
      <c r="N53" s="14"/>
      <c r="O53" s="173" t="s">
        <v>172</v>
      </c>
      <c r="P53" s="174"/>
      <c r="Q53" s="174"/>
      <c r="R53" s="174"/>
      <c r="S53" s="174"/>
      <c r="T53" s="174"/>
      <c r="U53" s="174"/>
      <c r="V53" s="175"/>
      <c r="W53" s="174"/>
      <c r="X53" s="176"/>
      <c r="Y53" s="113"/>
      <c r="Z53" s="89">
        <f t="shared" si="22"/>
        <v>0</v>
      </c>
      <c r="AA53" s="52"/>
      <c r="AB53" s="297">
        <v>0</v>
      </c>
      <c r="AC53" s="297">
        <v>0</v>
      </c>
      <c r="AD53" s="298">
        <v>0</v>
      </c>
      <c r="AE53" s="298">
        <v>0</v>
      </c>
      <c r="AF53" s="298">
        <v>0</v>
      </c>
      <c r="AG53" s="297">
        <v>0</v>
      </c>
      <c r="AH53" s="298">
        <v>0</v>
      </c>
      <c r="AI53" s="298">
        <v>0</v>
      </c>
      <c r="AJ53" s="14"/>
      <c r="AK53" s="14"/>
      <c r="AL53" s="14"/>
      <c r="AM53" s="14"/>
    </row>
    <row r="54" spans="1:39" ht="14.25" customHeight="1" x14ac:dyDescent="0.25">
      <c r="A54" s="154" t="s">
        <v>3</v>
      </c>
      <c r="B54" s="308"/>
      <c r="C54" s="476" t="s">
        <v>23</v>
      </c>
      <c r="D54" s="407"/>
      <c r="E54" s="408"/>
      <c r="F54" s="155"/>
      <c r="G54" s="155"/>
      <c r="H54" s="155"/>
      <c r="I54" s="155"/>
      <c r="J54" s="155"/>
      <c r="K54" s="155"/>
      <c r="L54" s="155"/>
      <c r="M54" s="156"/>
      <c r="N54" s="14"/>
      <c r="O54" s="185"/>
      <c r="P54" s="155"/>
      <c r="Q54" s="155"/>
      <c r="R54" s="155"/>
      <c r="S54" s="155"/>
      <c r="T54" s="155"/>
      <c r="U54" s="155"/>
      <c r="V54" s="155"/>
      <c r="W54" s="155"/>
      <c r="X54" s="156"/>
      <c r="Y54" s="113"/>
      <c r="Z54" s="170"/>
      <c r="AA54" s="52"/>
      <c r="AB54" s="297">
        <v>0</v>
      </c>
      <c r="AC54" s="297">
        <v>0</v>
      </c>
      <c r="AD54" s="298">
        <v>0</v>
      </c>
      <c r="AE54" s="298">
        <v>0</v>
      </c>
      <c r="AF54" s="298">
        <v>0</v>
      </c>
      <c r="AG54" s="297">
        <v>0</v>
      </c>
      <c r="AH54" s="298">
        <v>0</v>
      </c>
      <c r="AI54" s="298">
        <v>0</v>
      </c>
      <c r="AJ54" s="14"/>
      <c r="AK54" s="14"/>
      <c r="AL54" s="14"/>
      <c r="AM54" s="14"/>
    </row>
    <row r="55" spans="1:39" ht="14.25" customHeight="1" x14ac:dyDescent="0.25">
      <c r="A55" s="159" t="s">
        <v>73</v>
      </c>
      <c r="B55" s="309"/>
      <c r="C55" s="533"/>
      <c r="D55" s="407"/>
      <c r="E55" s="517"/>
      <c r="F55" s="51" t="s">
        <v>1</v>
      </c>
      <c r="G55" s="45">
        <f>VLOOKUP(A55,Tarifs!A$20:E$30,2,FALSE)</f>
        <v>150</v>
      </c>
      <c r="H55" s="46" t="s">
        <v>26</v>
      </c>
      <c r="I55" s="47">
        <f t="shared" ref="I55:I56" si="24">C55*G55</f>
        <v>0</v>
      </c>
      <c r="J55" s="48" t="s">
        <v>27</v>
      </c>
      <c r="K55" s="47">
        <f t="shared" ref="K55:K56" si="25">AF55</f>
        <v>0</v>
      </c>
      <c r="L55" s="48" t="s">
        <v>26</v>
      </c>
      <c r="M55" s="49">
        <f t="shared" ref="M55:M56" si="26">I55-K55</f>
        <v>0</v>
      </c>
      <c r="N55" s="14"/>
      <c r="O55" s="186" t="s">
        <v>172</v>
      </c>
      <c r="P55" s="51"/>
      <c r="Q55" s="51"/>
      <c r="R55" s="51"/>
      <c r="S55" s="51"/>
      <c r="T55" s="51"/>
      <c r="U55" s="51"/>
      <c r="V55" s="52"/>
      <c r="W55" s="52"/>
      <c r="X55" s="187"/>
      <c r="Y55" s="113"/>
      <c r="Z55" s="89">
        <f t="shared" ref="Z55:Z56" si="27">M55+X55</f>
        <v>0</v>
      </c>
      <c r="AA55" s="52"/>
      <c r="AB55" s="297">
        <v>0</v>
      </c>
      <c r="AC55" s="297">
        <v>0</v>
      </c>
      <c r="AD55" s="298">
        <v>0</v>
      </c>
      <c r="AE55" s="298">
        <v>0</v>
      </c>
      <c r="AF55" s="298">
        <v>0</v>
      </c>
      <c r="AG55" s="297">
        <v>0</v>
      </c>
      <c r="AH55" s="298">
        <v>0</v>
      </c>
      <c r="AI55" s="298">
        <v>0</v>
      </c>
      <c r="AJ55" s="14"/>
      <c r="AK55" s="14"/>
      <c r="AL55" s="14"/>
      <c r="AM55" s="14"/>
    </row>
    <row r="56" spans="1:39" ht="14.25" customHeight="1" thickBot="1" x14ac:dyDescent="0.3">
      <c r="A56" s="188" t="s">
        <v>74</v>
      </c>
      <c r="B56" s="311"/>
      <c r="C56" s="535"/>
      <c r="D56" s="530"/>
      <c r="E56" s="524"/>
      <c r="F56" s="189" t="s">
        <v>1</v>
      </c>
      <c r="G56" s="129">
        <f>VLOOKUP(A56,Tarifs!A$20:E$30,2,FALSE)</f>
        <v>300</v>
      </c>
      <c r="H56" s="190" t="s">
        <v>26</v>
      </c>
      <c r="I56" s="132">
        <f t="shared" si="24"/>
        <v>0</v>
      </c>
      <c r="J56" s="131" t="s">
        <v>27</v>
      </c>
      <c r="K56" s="132">
        <f t="shared" si="25"/>
        <v>0</v>
      </c>
      <c r="L56" s="131" t="s">
        <v>26</v>
      </c>
      <c r="M56" s="133">
        <f t="shared" si="26"/>
        <v>0</v>
      </c>
      <c r="N56" s="34"/>
      <c r="O56" s="191" t="s">
        <v>172</v>
      </c>
      <c r="P56" s="189"/>
      <c r="Q56" s="189"/>
      <c r="R56" s="189"/>
      <c r="S56" s="189"/>
      <c r="T56" s="189"/>
      <c r="U56" s="189"/>
      <c r="V56" s="137"/>
      <c r="W56" s="137"/>
      <c r="X56" s="192"/>
      <c r="Y56" s="113"/>
      <c r="Z56" s="139">
        <f t="shared" si="27"/>
        <v>0</v>
      </c>
      <c r="AA56" s="52"/>
      <c r="AB56" s="297">
        <v>0</v>
      </c>
      <c r="AC56" s="297">
        <v>0</v>
      </c>
      <c r="AD56" s="298">
        <v>0</v>
      </c>
      <c r="AE56" s="298">
        <v>0</v>
      </c>
      <c r="AF56" s="298">
        <v>0</v>
      </c>
      <c r="AG56" s="297">
        <v>0</v>
      </c>
      <c r="AH56" s="298">
        <v>0</v>
      </c>
      <c r="AI56" s="298">
        <v>0</v>
      </c>
      <c r="AJ56" s="14"/>
      <c r="AK56" s="14"/>
      <c r="AL56" s="14"/>
      <c r="AM56" s="14"/>
    </row>
    <row r="57" spans="1:39" ht="18.75" customHeight="1" thickTop="1" thickBot="1" x14ac:dyDescent="0.35">
      <c r="A57" s="477" t="s">
        <v>162</v>
      </c>
      <c r="B57" s="478"/>
      <c r="C57" s="401"/>
      <c r="D57" s="401"/>
      <c r="E57" s="401"/>
      <c r="F57" s="401"/>
      <c r="G57" s="402"/>
      <c r="H57" s="193"/>
      <c r="I57" s="194">
        <f>SUM(I49:I56)</f>
        <v>1300</v>
      </c>
      <c r="J57" s="195" t="s">
        <v>27</v>
      </c>
      <c r="K57" s="196">
        <f>SUM(K49:K56)</f>
        <v>975</v>
      </c>
      <c r="L57" s="197" t="s">
        <v>26</v>
      </c>
      <c r="M57" s="198">
        <f>SUM(M49:M56)</f>
        <v>325</v>
      </c>
      <c r="N57" s="34"/>
      <c r="O57" s="199"/>
      <c r="P57" s="200"/>
      <c r="Q57" s="200"/>
      <c r="R57" s="200"/>
      <c r="S57" s="200"/>
      <c r="T57" s="193">
        <f>SUM(T49:T56)</f>
        <v>0</v>
      </c>
      <c r="U57" s="201" t="s">
        <v>27</v>
      </c>
      <c r="V57" s="196">
        <f>SUM(V49:V56)</f>
        <v>0</v>
      </c>
      <c r="W57" s="197" t="s">
        <v>26</v>
      </c>
      <c r="X57" s="202">
        <f>SUM(X49:X56)</f>
        <v>0</v>
      </c>
      <c r="Y57" s="113"/>
      <c r="Z57" s="203">
        <f>SUM(Z49:Z56)</f>
        <v>325</v>
      </c>
      <c r="AA57" s="300"/>
      <c r="AB57" s="116"/>
      <c r="AC57" s="116"/>
      <c r="AD57" s="14"/>
      <c r="AE57" s="14"/>
      <c r="AF57" s="14"/>
      <c r="AG57" s="14"/>
      <c r="AH57" s="14"/>
      <c r="AI57" s="14"/>
      <c r="AJ57" s="14"/>
      <c r="AK57" s="14"/>
      <c r="AL57" s="14"/>
      <c r="AM57" s="14"/>
    </row>
    <row r="58" spans="1:39" ht="5.25" customHeight="1" thickBot="1" x14ac:dyDescent="0.3">
      <c r="A58" s="34"/>
      <c r="B58" s="312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04"/>
      <c r="Y58" s="204"/>
      <c r="Z58" s="204"/>
      <c r="AA58" s="204"/>
      <c r="AB58" s="302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</row>
    <row r="59" spans="1:39" ht="25.5" customHeight="1" x14ac:dyDescent="0.25">
      <c r="A59" s="205" t="s">
        <v>193</v>
      </c>
      <c r="B59" s="313"/>
      <c r="C59" s="206"/>
      <c r="D59" s="206"/>
      <c r="E59" s="206"/>
      <c r="F59" s="206"/>
      <c r="G59" s="479"/>
      <c r="H59" s="404"/>
      <c r="I59" s="404"/>
      <c r="J59" s="404"/>
      <c r="K59" s="404"/>
      <c r="L59" s="404"/>
      <c r="M59" s="405"/>
      <c r="N59" s="34"/>
      <c r="O59" s="205"/>
      <c r="P59" s="206"/>
      <c r="Q59" s="206"/>
      <c r="R59" s="206"/>
      <c r="S59" s="206"/>
      <c r="T59" s="206"/>
      <c r="U59" s="206"/>
      <c r="V59" s="206"/>
      <c r="W59" s="206"/>
      <c r="X59" s="207"/>
      <c r="Y59" s="34"/>
      <c r="Z59" s="474" t="str">
        <f>IF(Tarifs!$D$96=Tarifs!$B$102,"TOTAL Payable by the organization", "TOTAL Payable by the artist")</f>
        <v>TOTAL Payable by the artist</v>
      </c>
      <c r="AA59" s="301"/>
      <c r="AB59" s="291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</row>
    <row r="60" spans="1:39" x14ac:dyDescent="0.25">
      <c r="A60" s="208" t="s">
        <v>194</v>
      </c>
      <c r="B60" s="314"/>
      <c r="C60" s="493" t="s">
        <v>23</v>
      </c>
      <c r="D60" s="407"/>
      <c r="E60" s="408"/>
      <c r="F60" s="209"/>
      <c r="G60" s="210" t="s">
        <v>144</v>
      </c>
      <c r="H60" s="209"/>
      <c r="I60" s="210" t="s">
        <v>152</v>
      </c>
      <c r="J60" s="210"/>
      <c r="K60" s="210" t="s">
        <v>153</v>
      </c>
      <c r="L60" s="210"/>
      <c r="M60" s="211" t="s">
        <v>25</v>
      </c>
      <c r="N60" s="34"/>
      <c r="O60" s="212"/>
      <c r="P60" s="213"/>
      <c r="Q60" s="214"/>
      <c r="R60" s="214"/>
      <c r="S60" s="213"/>
      <c r="T60" s="214"/>
      <c r="U60" s="214"/>
      <c r="V60" s="214"/>
      <c r="W60" s="214"/>
      <c r="X60" s="215"/>
      <c r="Y60" s="34"/>
      <c r="Z60" s="472"/>
      <c r="AA60" s="301"/>
      <c r="AB60" s="302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</row>
    <row r="61" spans="1:39" ht="15" customHeight="1" x14ac:dyDescent="0.25">
      <c r="A61" s="537"/>
      <c r="B61" s="538"/>
      <c r="C61" s="536"/>
      <c r="D61" s="407"/>
      <c r="E61" s="517"/>
      <c r="F61" s="52" t="s">
        <v>1</v>
      </c>
      <c r="G61" s="52">
        <f>IF(C61="",0,VLOOKUP(A61,Tarifs!A86:B92,2,FALSE))</f>
        <v>0</v>
      </c>
      <c r="H61" s="52" t="s">
        <v>26</v>
      </c>
      <c r="I61" s="47">
        <f>IFERROR(C61*G61,0)</f>
        <v>0</v>
      </c>
      <c r="J61" s="87" t="s">
        <v>27</v>
      </c>
      <c r="K61" s="52">
        <v>0</v>
      </c>
      <c r="L61" s="48" t="s">
        <v>26</v>
      </c>
      <c r="M61" s="49">
        <f t="shared" ref="M61:M65" si="28">I61-K61</f>
        <v>0</v>
      </c>
      <c r="N61" s="34"/>
      <c r="O61" s="216"/>
      <c r="P61" s="51"/>
      <c r="Q61" s="52"/>
      <c r="R61" s="53"/>
      <c r="S61" s="53"/>
      <c r="T61" s="52"/>
      <c r="U61" s="52"/>
      <c r="V61" s="52"/>
      <c r="W61" s="52"/>
      <c r="X61" s="54"/>
      <c r="Y61" s="34"/>
      <c r="Z61" s="89">
        <f t="shared" ref="Z61:Z65" si="29">M61</f>
        <v>0</v>
      </c>
      <c r="AA61" s="52"/>
      <c r="AB61" s="291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</row>
    <row r="62" spans="1:39" ht="15" customHeight="1" x14ac:dyDescent="0.25">
      <c r="A62" s="540"/>
      <c r="B62" s="541"/>
      <c r="C62" s="542"/>
      <c r="D62" s="407"/>
      <c r="E62" s="517"/>
      <c r="F62" s="93" t="s">
        <v>1</v>
      </c>
      <c r="G62" s="93">
        <f>IF(A62="",0,VLOOKUP(A62,Tarifs!A$86:B$92,2,FALSE))</f>
        <v>0</v>
      </c>
      <c r="H62" s="93" t="s">
        <v>26</v>
      </c>
      <c r="I62" s="93">
        <f t="shared" ref="I62:I65" si="30">C62*G62</f>
        <v>0</v>
      </c>
      <c r="J62" s="91" t="s">
        <v>27</v>
      </c>
      <c r="K62" s="93">
        <v>0</v>
      </c>
      <c r="L62" s="60" t="s">
        <v>26</v>
      </c>
      <c r="M62" s="217">
        <f t="shared" si="28"/>
        <v>0</v>
      </c>
      <c r="N62" s="34"/>
      <c r="O62" s="216"/>
      <c r="P62" s="52"/>
      <c r="Q62" s="52"/>
      <c r="R62" s="53"/>
      <c r="S62" s="52"/>
      <c r="T62" s="52"/>
      <c r="U62" s="52"/>
      <c r="V62" s="52"/>
      <c r="W62" s="52"/>
      <c r="X62" s="54"/>
      <c r="Y62" s="34"/>
      <c r="Z62" s="95">
        <f t="shared" si="29"/>
        <v>0</v>
      </c>
      <c r="AA62" s="52"/>
      <c r="AB62" s="302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</row>
    <row r="63" spans="1:39" ht="15" customHeight="1" x14ac:dyDescent="0.25">
      <c r="A63" s="537"/>
      <c r="B63" s="538"/>
      <c r="C63" s="539"/>
      <c r="D63" s="407"/>
      <c r="E63" s="517"/>
      <c r="F63" s="52" t="s">
        <v>1</v>
      </c>
      <c r="G63" s="52">
        <f>IF(A63="",0,VLOOKUP(A63,Tarifs!A$86:B$92,2,FALSE))</f>
        <v>0</v>
      </c>
      <c r="H63" s="52" t="s">
        <v>26</v>
      </c>
      <c r="I63" s="52">
        <f t="shared" si="30"/>
        <v>0</v>
      </c>
      <c r="J63" s="87" t="s">
        <v>27</v>
      </c>
      <c r="K63" s="52">
        <v>0</v>
      </c>
      <c r="L63" s="48" t="s">
        <v>26</v>
      </c>
      <c r="M63" s="187">
        <f t="shared" si="28"/>
        <v>0</v>
      </c>
      <c r="N63" s="34"/>
      <c r="O63" s="216"/>
      <c r="P63" s="52"/>
      <c r="Q63" s="52"/>
      <c r="R63" s="53"/>
      <c r="S63" s="52"/>
      <c r="T63" s="52"/>
      <c r="U63" s="52"/>
      <c r="V63" s="52"/>
      <c r="W63" s="52"/>
      <c r="X63" s="54"/>
      <c r="Y63" s="34"/>
      <c r="Z63" s="89">
        <f t="shared" si="29"/>
        <v>0</v>
      </c>
      <c r="AA63" s="52"/>
      <c r="AB63" s="291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</row>
    <row r="64" spans="1:39" ht="15" customHeight="1" x14ac:dyDescent="0.25">
      <c r="A64" s="540"/>
      <c r="B64" s="541"/>
      <c r="C64" s="542"/>
      <c r="D64" s="407"/>
      <c r="E64" s="517"/>
      <c r="F64" s="93" t="s">
        <v>1</v>
      </c>
      <c r="G64" s="93">
        <f>IF(A64="",0,VLOOKUP(A64,Tarifs!A$86:B$92,2,FALSE))</f>
        <v>0</v>
      </c>
      <c r="H64" s="93" t="s">
        <v>26</v>
      </c>
      <c r="I64" s="93">
        <f t="shared" si="30"/>
        <v>0</v>
      </c>
      <c r="J64" s="91" t="s">
        <v>27</v>
      </c>
      <c r="K64" s="93">
        <v>0</v>
      </c>
      <c r="L64" s="60" t="s">
        <v>26</v>
      </c>
      <c r="M64" s="217">
        <f t="shared" si="28"/>
        <v>0</v>
      </c>
      <c r="N64" s="34"/>
      <c r="O64" s="216"/>
      <c r="P64" s="52"/>
      <c r="Q64" s="52"/>
      <c r="R64" s="53"/>
      <c r="S64" s="52"/>
      <c r="T64" s="52"/>
      <c r="U64" s="52"/>
      <c r="V64" s="52"/>
      <c r="W64" s="52"/>
      <c r="X64" s="54"/>
      <c r="Y64" s="34"/>
      <c r="Z64" s="95">
        <f t="shared" si="29"/>
        <v>0</v>
      </c>
      <c r="AA64" s="52"/>
      <c r="AB64" s="302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</row>
    <row r="65" spans="1:39" ht="15" customHeight="1" thickBot="1" x14ac:dyDescent="0.3">
      <c r="A65" s="543"/>
      <c r="B65" s="544"/>
      <c r="C65" s="545"/>
      <c r="D65" s="530"/>
      <c r="E65" s="524"/>
      <c r="F65" s="69" t="s">
        <v>1</v>
      </c>
      <c r="G65" s="69">
        <f>IF(A65="",0,VLOOKUP(A65,Tarifs!A$86:B$92,2,FALSE))</f>
        <v>0</v>
      </c>
      <c r="H65" s="69" t="s">
        <v>26</v>
      </c>
      <c r="I65" s="69">
        <f t="shared" si="30"/>
        <v>0</v>
      </c>
      <c r="J65" s="69" t="s">
        <v>27</v>
      </c>
      <c r="K65" s="69">
        <v>0</v>
      </c>
      <c r="L65" s="218" t="s">
        <v>26</v>
      </c>
      <c r="M65" s="219">
        <f t="shared" si="28"/>
        <v>0</v>
      </c>
      <c r="N65" s="34"/>
      <c r="O65" s="220"/>
      <c r="P65" s="69"/>
      <c r="Q65" s="69"/>
      <c r="R65" s="70"/>
      <c r="S65" s="69"/>
      <c r="T65" s="69"/>
      <c r="U65" s="69"/>
      <c r="V65" s="69"/>
      <c r="W65" s="69"/>
      <c r="X65" s="71"/>
      <c r="Y65" s="34"/>
      <c r="Z65" s="100">
        <f t="shared" si="29"/>
        <v>0</v>
      </c>
      <c r="AA65" s="52"/>
      <c r="AB65" s="291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</row>
    <row r="66" spans="1:39" ht="15" customHeight="1" thickTop="1" thickBot="1" x14ac:dyDescent="0.35">
      <c r="A66" s="418" t="s">
        <v>161</v>
      </c>
      <c r="B66" s="419"/>
      <c r="C66" s="401"/>
      <c r="D66" s="401"/>
      <c r="E66" s="401"/>
      <c r="F66" s="401"/>
      <c r="G66" s="402"/>
      <c r="H66" s="221"/>
      <c r="I66" s="222">
        <f>SUM(I58:I65)</f>
        <v>0</v>
      </c>
      <c r="J66" s="223" t="s">
        <v>27</v>
      </c>
      <c r="K66" s="224">
        <f>SUM(K58:K65)</f>
        <v>0</v>
      </c>
      <c r="L66" s="225" t="s">
        <v>26</v>
      </c>
      <c r="M66" s="226">
        <f>SUM(M58:M65)</f>
        <v>0</v>
      </c>
      <c r="N66" s="34"/>
      <c r="O66" s="227"/>
      <c r="P66" s="228"/>
      <c r="Q66" s="228"/>
      <c r="R66" s="228"/>
      <c r="S66" s="228"/>
      <c r="T66" s="228"/>
      <c r="U66" s="229"/>
      <c r="V66" s="228"/>
      <c r="W66" s="229"/>
      <c r="X66" s="230"/>
      <c r="Y66" s="113"/>
      <c r="Z66" s="231">
        <f>SUM(Z61:Z65)</f>
        <v>0</v>
      </c>
      <c r="AA66" s="300"/>
      <c r="AB66" s="302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</row>
    <row r="67" spans="1:39" ht="7.5" customHeight="1" thickBot="1" x14ac:dyDescent="0.3">
      <c r="A67" s="34"/>
      <c r="B67" s="31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Y67" s="204"/>
      <c r="Z67" s="204"/>
      <c r="AA67" s="204"/>
      <c r="AB67" s="302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</row>
    <row r="68" spans="1:39" ht="25.5" customHeight="1" x14ac:dyDescent="0.25">
      <c r="A68" s="232" t="s">
        <v>159</v>
      </c>
      <c r="B68" s="315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4"/>
      <c r="N68" s="34"/>
      <c r="O68" s="235"/>
      <c r="P68" s="236"/>
      <c r="Q68" s="236"/>
      <c r="R68" s="236"/>
      <c r="S68" s="236"/>
      <c r="T68" s="236"/>
      <c r="U68" s="236"/>
      <c r="V68" s="236"/>
      <c r="W68" s="236"/>
      <c r="X68" s="237"/>
      <c r="Y68" s="204"/>
      <c r="Z68" s="475" t="str">
        <f>IF(Tarifs!$D$96=Tarifs!$B$102,"TOTAL Payable by the organization", "TOTAL Payable by the artist")</f>
        <v>TOTAL Payable by the artist</v>
      </c>
      <c r="AA68" s="301"/>
      <c r="AB68" s="302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</row>
    <row r="69" spans="1:39" x14ac:dyDescent="0.25">
      <c r="A69" s="238" t="s">
        <v>160</v>
      </c>
      <c r="B69" s="316"/>
      <c r="C69" s="494" t="s">
        <v>23</v>
      </c>
      <c r="D69" s="407"/>
      <c r="E69" s="408"/>
      <c r="F69" s="239"/>
      <c r="G69" s="240" t="s">
        <v>144</v>
      </c>
      <c r="H69" s="239"/>
      <c r="I69" s="241" t="s">
        <v>152</v>
      </c>
      <c r="J69" s="239"/>
      <c r="K69" s="242" t="s">
        <v>153</v>
      </c>
      <c r="L69" s="239"/>
      <c r="M69" s="243" t="s">
        <v>25</v>
      </c>
      <c r="N69" s="34"/>
      <c r="O69" s="244"/>
      <c r="P69" s="245"/>
      <c r="Q69" s="246"/>
      <c r="R69" s="246"/>
      <c r="S69" s="245"/>
      <c r="T69" s="246"/>
      <c r="U69" s="246"/>
      <c r="V69" s="246"/>
      <c r="W69" s="246"/>
      <c r="X69" s="247"/>
      <c r="Y69" s="204"/>
      <c r="Z69" s="472"/>
      <c r="AA69" s="301"/>
      <c r="AB69" s="302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</row>
    <row r="70" spans="1:39" ht="15" customHeight="1" x14ac:dyDescent="0.25">
      <c r="A70" s="546"/>
      <c r="B70" s="547"/>
      <c r="C70" s="548"/>
      <c r="D70" s="407"/>
      <c r="E70" s="517"/>
      <c r="F70" s="52" t="s">
        <v>1</v>
      </c>
      <c r="G70" s="346">
        <v>0</v>
      </c>
      <c r="H70" s="52" t="s">
        <v>26</v>
      </c>
      <c r="I70" s="52">
        <f t="shared" ref="I70:I73" si="31">IF(C70=0,0,C70*G70)</f>
        <v>0</v>
      </c>
      <c r="J70" s="87" t="s">
        <v>27</v>
      </c>
      <c r="K70" s="346">
        <v>0</v>
      </c>
      <c r="L70" s="52" t="s">
        <v>26</v>
      </c>
      <c r="M70" s="187">
        <f t="shared" ref="M70:M73" si="32">I70-K70</f>
        <v>0</v>
      </c>
      <c r="N70" s="34"/>
      <c r="O70" s="248"/>
      <c r="P70" s="51"/>
      <c r="Q70" s="52"/>
      <c r="R70" s="53"/>
      <c r="S70" s="53"/>
      <c r="T70" s="52"/>
      <c r="U70" s="52"/>
      <c r="V70" s="52"/>
      <c r="W70" s="52"/>
      <c r="X70" s="54"/>
      <c r="Y70" s="204"/>
      <c r="Z70" s="89">
        <f t="shared" ref="Z70:Z73" si="33">M70</f>
        <v>0</v>
      </c>
      <c r="AA70" s="52"/>
      <c r="AB70" s="302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</row>
    <row r="71" spans="1:39" ht="15" customHeight="1" x14ac:dyDescent="0.25">
      <c r="A71" s="555"/>
      <c r="B71" s="556"/>
      <c r="C71" s="557"/>
      <c r="D71" s="407"/>
      <c r="E71" s="517"/>
      <c r="F71" s="93" t="s">
        <v>1</v>
      </c>
      <c r="G71" s="347">
        <v>0</v>
      </c>
      <c r="H71" s="93" t="s">
        <v>26</v>
      </c>
      <c r="I71" s="93">
        <f t="shared" si="31"/>
        <v>0</v>
      </c>
      <c r="J71" s="91" t="s">
        <v>27</v>
      </c>
      <c r="K71" s="347">
        <v>0</v>
      </c>
      <c r="L71" s="93" t="s">
        <v>26</v>
      </c>
      <c r="M71" s="217">
        <f t="shared" si="32"/>
        <v>0</v>
      </c>
      <c r="N71" s="34"/>
      <c r="O71" s="248"/>
      <c r="P71" s="52"/>
      <c r="Q71" s="52"/>
      <c r="R71" s="53"/>
      <c r="S71" s="52"/>
      <c r="T71" s="52"/>
      <c r="U71" s="52"/>
      <c r="V71" s="52"/>
      <c r="W71" s="52"/>
      <c r="X71" s="54"/>
      <c r="Y71" s="204"/>
      <c r="Z71" s="95">
        <f t="shared" si="33"/>
        <v>0</v>
      </c>
      <c r="AA71" s="52"/>
      <c r="AB71" s="302"/>
      <c r="AC71" s="14"/>
      <c r="AD71" s="116"/>
      <c r="AE71" s="14"/>
      <c r="AF71" s="14"/>
      <c r="AG71" s="14"/>
      <c r="AH71" s="14"/>
      <c r="AI71" s="14"/>
      <c r="AJ71" s="14"/>
      <c r="AK71" s="14"/>
      <c r="AL71" s="14"/>
      <c r="AM71" s="14"/>
    </row>
    <row r="72" spans="1:39" ht="15" customHeight="1" x14ac:dyDescent="0.25">
      <c r="A72" s="546"/>
      <c r="B72" s="547"/>
      <c r="C72" s="548"/>
      <c r="D72" s="407"/>
      <c r="E72" s="517"/>
      <c r="F72" s="52" t="s">
        <v>1</v>
      </c>
      <c r="G72" s="346">
        <v>0</v>
      </c>
      <c r="H72" s="52" t="s">
        <v>26</v>
      </c>
      <c r="I72" s="52">
        <f t="shared" si="31"/>
        <v>0</v>
      </c>
      <c r="J72" s="87" t="s">
        <v>27</v>
      </c>
      <c r="K72" s="346">
        <v>0</v>
      </c>
      <c r="L72" s="52" t="s">
        <v>26</v>
      </c>
      <c r="M72" s="187">
        <f t="shared" si="32"/>
        <v>0</v>
      </c>
      <c r="N72" s="34"/>
      <c r="O72" s="248"/>
      <c r="P72" s="52"/>
      <c r="Q72" s="52"/>
      <c r="R72" s="53"/>
      <c r="S72" s="52"/>
      <c r="T72" s="52"/>
      <c r="U72" s="52"/>
      <c r="V72" s="52"/>
      <c r="W72" s="52"/>
      <c r="X72" s="54"/>
      <c r="Y72" s="204"/>
      <c r="Z72" s="89">
        <f t="shared" si="33"/>
        <v>0</v>
      </c>
      <c r="AA72" s="52"/>
      <c r="AB72" s="302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</row>
    <row r="73" spans="1:39" ht="15" customHeight="1" thickBot="1" x14ac:dyDescent="0.3">
      <c r="A73" s="549"/>
      <c r="B73" s="550"/>
      <c r="C73" s="551"/>
      <c r="D73" s="530"/>
      <c r="E73" s="524"/>
      <c r="F73" s="137" t="s">
        <v>1</v>
      </c>
      <c r="G73" s="348">
        <v>0</v>
      </c>
      <c r="H73" s="137" t="s">
        <v>26</v>
      </c>
      <c r="I73" s="137">
        <f t="shared" si="31"/>
        <v>0</v>
      </c>
      <c r="J73" s="137" t="s">
        <v>27</v>
      </c>
      <c r="K73" s="348">
        <v>0</v>
      </c>
      <c r="L73" s="137" t="s">
        <v>26</v>
      </c>
      <c r="M73" s="192">
        <f t="shared" si="32"/>
        <v>0</v>
      </c>
      <c r="N73" s="34"/>
      <c r="O73" s="249"/>
      <c r="P73" s="69"/>
      <c r="Q73" s="69"/>
      <c r="R73" s="70"/>
      <c r="S73" s="69"/>
      <c r="T73" s="69"/>
      <c r="U73" s="69"/>
      <c r="V73" s="69"/>
      <c r="W73" s="69"/>
      <c r="X73" s="71"/>
      <c r="Y73" s="204"/>
      <c r="Z73" s="139">
        <f t="shared" si="33"/>
        <v>0</v>
      </c>
      <c r="AA73" s="52"/>
      <c r="AB73" s="302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</row>
    <row r="74" spans="1:39" ht="15" customHeight="1" thickTop="1" thickBot="1" x14ac:dyDescent="0.35">
      <c r="A74" s="498" t="s">
        <v>33</v>
      </c>
      <c r="B74" s="499"/>
      <c r="C74" s="401"/>
      <c r="D74" s="401"/>
      <c r="E74" s="401"/>
      <c r="F74" s="401"/>
      <c r="G74" s="402"/>
      <c r="H74" s="250"/>
      <c r="I74" s="251">
        <f>SUM(I70:I73)</f>
        <v>0</v>
      </c>
      <c r="J74" s="250" t="s">
        <v>27</v>
      </c>
      <c r="K74" s="251">
        <f>SUM(K70:K73)</f>
        <v>0</v>
      </c>
      <c r="L74" s="250" t="s">
        <v>26</v>
      </c>
      <c r="M74" s="252">
        <f>SUM(M70:M73)</f>
        <v>0</v>
      </c>
      <c r="N74" s="34"/>
      <c r="O74" s="253"/>
      <c r="P74" s="254"/>
      <c r="Q74" s="254"/>
      <c r="R74" s="254"/>
      <c r="S74" s="254"/>
      <c r="T74" s="254"/>
      <c r="U74" s="250"/>
      <c r="V74" s="254"/>
      <c r="W74" s="250"/>
      <c r="X74" s="255"/>
      <c r="Y74" s="204"/>
      <c r="Z74" s="256">
        <f>SUM(Z70:Z73)</f>
        <v>0</v>
      </c>
      <c r="AA74" s="300"/>
      <c r="AB74" s="302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</row>
    <row r="75" spans="1:39" ht="15" customHeight="1" thickBot="1" x14ac:dyDescent="0.3">
      <c r="A75" s="34"/>
      <c r="B75" s="312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Y75" s="204"/>
      <c r="Z75" s="204"/>
      <c r="AA75" s="204"/>
      <c r="AB75" s="302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</row>
    <row r="76" spans="1:39" ht="21" customHeight="1" x14ac:dyDescent="0.25">
      <c r="A76" s="257" t="s">
        <v>167</v>
      </c>
      <c r="B76" s="317"/>
      <c r="C76" s="258"/>
      <c r="D76" s="258"/>
      <c r="E76" s="258"/>
      <c r="F76" s="258"/>
      <c r="G76" s="258"/>
      <c r="H76" s="258"/>
      <c r="I76" s="429" t="s">
        <v>191</v>
      </c>
      <c r="J76" s="404"/>
      <c r="K76" s="404"/>
      <c r="L76" s="404"/>
      <c r="M76" s="405"/>
      <c r="N76" s="259"/>
      <c r="O76" s="260"/>
      <c r="P76" s="258"/>
      <c r="Q76" s="258"/>
      <c r="R76" s="258"/>
      <c r="S76" s="258"/>
      <c r="T76" s="429" t="s">
        <v>82</v>
      </c>
      <c r="U76" s="404"/>
      <c r="V76" s="404"/>
      <c r="W76" s="404"/>
      <c r="X76" s="405"/>
      <c r="Y76" s="204"/>
      <c r="Z76" s="484" t="str">
        <f>IF(Tarifs!$D$96=Tarifs!$B$102,"TOTAL Payable by the organization", "TOTAL Payable by the artist")</f>
        <v>TOTAL Payable by the artist</v>
      </c>
      <c r="AA76" s="301"/>
      <c r="AB76" s="302"/>
      <c r="AC76" s="22"/>
      <c r="AD76" s="22"/>
      <c r="AE76" s="22"/>
      <c r="AF76" s="22"/>
      <c r="AG76" s="22"/>
      <c r="AH76" s="22"/>
      <c r="AI76" s="22"/>
      <c r="AJ76" s="22"/>
    </row>
    <row r="77" spans="1:39" ht="15.75" customHeight="1" x14ac:dyDescent="0.25">
      <c r="A77" s="261"/>
      <c r="B77" s="318"/>
      <c r="C77" s="262"/>
      <c r="D77" s="262"/>
      <c r="E77" s="262"/>
      <c r="F77" s="262"/>
      <c r="G77" s="262"/>
      <c r="H77" s="262"/>
      <c r="I77" s="263" t="s">
        <v>152</v>
      </c>
      <c r="J77" s="263"/>
      <c r="K77" s="263" t="s">
        <v>153</v>
      </c>
      <c r="L77" s="263"/>
      <c r="M77" s="264" t="s">
        <v>25</v>
      </c>
      <c r="N77" s="259"/>
      <c r="O77" s="265"/>
      <c r="P77" s="262"/>
      <c r="Q77" s="262"/>
      <c r="R77" s="262"/>
      <c r="S77" s="262"/>
      <c r="T77" s="263" t="s">
        <v>152</v>
      </c>
      <c r="U77" s="263"/>
      <c r="V77" s="263" t="s">
        <v>153</v>
      </c>
      <c r="W77" s="263"/>
      <c r="X77" s="264" t="s">
        <v>25</v>
      </c>
      <c r="Y77" s="259"/>
      <c r="Z77" s="472"/>
      <c r="AA77" s="301"/>
      <c r="AB77" s="302"/>
      <c r="AC77" s="22"/>
      <c r="AD77" s="22"/>
      <c r="AE77" s="22"/>
      <c r="AF77" s="22"/>
      <c r="AG77" s="22"/>
      <c r="AH77" s="22"/>
      <c r="AI77" s="22"/>
      <c r="AJ77" s="22"/>
    </row>
    <row r="78" spans="1:39" ht="21" customHeight="1" x14ac:dyDescent="0.25">
      <c r="A78" s="266" t="s">
        <v>168</v>
      </c>
      <c r="B78" s="319"/>
      <c r="C78" s="267"/>
      <c r="D78" s="267"/>
      <c r="E78" s="267"/>
      <c r="F78" s="267"/>
      <c r="G78" s="267"/>
      <c r="H78" s="267"/>
      <c r="I78" s="268">
        <f>SUM(I74,I66,I57,I45,I33,I20)</f>
        <v>19400</v>
      </c>
      <c r="J78" s="267" t="s">
        <v>27</v>
      </c>
      <c r="K78" s="268">
        <f>SUM(K74,K66,K57,K45,K33,K20)</f>
        <v>14550</v>
      </c>
      <c r="L78" s="267" t="s">
        <v>26</v>
      </c>
      <c r="M78" s="269">
        <f>SUM(M74,M66,M57,M45,M33,M20)</f>
        <v>4850</v>
      </c>
      <c r="N78" s="259"/>
      <c r="O78" s="270"/>
      <c r="P78" s="271"/>
      <c r="Q78" s="271"/>
      <c r="R78" s="271"/>
      <c r="S78" s="271"/>
      <c r="T78" s="268">
        <f>SUM(T74,T66,T57,T45,T33,T20)</f>
        <v>3600</v>
      </c>
      <c r="U78" s="267" t="s">
        <v>27</v>
      </c>
      <c r="V78" s="268">
        <f>SUM(V74,V66,V57,V45,V33,V20)</f>
        <v>0</v>
      </c>
      <c r="W78" s="267" t="s">
        <v>26</v>
      </c>
      <c r="X78" s="269">
        <f>SUM(X74,X66,X57,X45,X33,X20)</f>
        <v>3600</v>
      </c>
      <c r="Y78" s="52"/>
      <c r="Z78" s="272">
        <f t="shared" ref="Z78:Z79" si="34">M78+X78</f>
        <v>8450</v>
      </c>
      <c r="AA78" s="204"/>
      <c r="AB78" s="302"/>
      <c r="AC78" s="22"/>
      <c r="AD78" s="22"/>
      <c r="AE78" s="22"/>
      <c r="AF78" s="22"/>
      <c r="AG78" s="22"/>
      <c r="AH78" s="22"/>
      <c r="AI78" s="22"/>
      <c r="AJ78" s="22"/>
    </row>
    <row r="79" spans="1:39" ht="21" customHeight="1" thickBot="1" x14ac:dyDescent="0.3">
      <c r="A79" s="273" t="s">
        <v>169</v>
      </c>
      <c r="B79" s="320"/>
      <c r="C79" s="274"/>
      <c r="D79" s="274"/>
      <c r="E79" s="275">
        <f>M78</f>
        <v>4850</v>
      </c>
      <c r="F79" s="274" t="s">
        <v>1</v>
      </c>
      <c r="G79" s="276">
        <v>0.1</v>
      </c>
      <c r="H79" s="274" t="s">
        <v>26</v>
      </c>
      <c r="I79" s="275">
        <f>E79*G79</f>
        <v>485</v>
      </c>
      <c r="J79" s="274" t="s">
        <v>27</v>
      </c>
      <c r="K79" s="275">
        <v>0</v>
      </c>
      <c r="L79" s="274" t="s">
        <v>26</v>
      </c>
      <c r="M79" s="277">
        <f>I79-K79</f>
        <v>485</v>
      </c>
      <c r="N79" s="259"/>
      <c r="O79" s="278"/>
      <c r="P79" s="275">
        <f>X78</f>
        <v>3600</v>
      </c>
      <c r="Q79" s="274" t="s">
        <v>1</v>
      </c>
      <c r="R79" s="276">
        <v>0.1</v>
      </c>
      <c r="S79" s="274" t="s">
        <v>26</v>
      </c>
      <c r="T79" s="275">
        <f>P79*R79</f>
        <v>360</v>
      </c>
      <c r="U79" s="274" t="s">
        <v>27</v>
      </c>
      <c r="V79" s="275">
        <v>0</v>
      </c>
      <c r="W79" s="274" t="s">
        <v>26</v>
      </c>
      <c r="X79" s="277">
        <f>T79-V79</f>
        <v>360</v>
      </c>
      <c r="Y79" s="52"/>
      <c r="Z79" s="279">
        <f t="shared" si="34"/>
        <v>845</v>
      </c>
      <c r="AA79" s="204"/>
      <c r="AB79" s="302"/>
      <c r="AC79" s="22"/>
      <c r="AD79" s="22"/>
      <c r="AE79" s="22"/>
      <c r="AF79" s="22"/>
      <c r="AG79" s="22"/>
      <c r="AH79" s="22"/>
      <c r="AI79" s="22"/>
      <c r="AJ79" s="22"/>
    </row>
    <row r="80" spans="1:39" ht="23.25" customHeight="1" thickTop="1" thickBot="1" x14ac:dyDescent="0.45">
      <c r="A80" s="280" t="s">
        <v>34</v>
      </c>
      <c r="B80" s="321"/>
      <c r="C80" s="360"/>
      <c r="D80" s="360"/>
      <c r="E80" s="360"/>
      <c r="F80" s="360"/>
      <c r="G80" s="360"/>
      <c r="H80" s="360"/>
      <c r="I80" s="361">
        <f>SUM(I78:I79)</f>
        <v>19885</v>
      </c>
      <c r="J80" s="360" t="s">
        <v>27</v>
      </c>
      <c r="K80" s="361">
        <f>SUM(K78:K79)</f>
        <v>14550</v>
      </c>
      <c r="L80" s="281" t="s">
        <v>26</v>
      </c>
      <c r="M80" s="283">
        <f>SUM(M78:M79)</f>
        <v>5335</v>
      </c>
      <c r="O80" s="284"/>
      <c r="P80" s="285"/>
      <c r="Q80" s="285"/>
      <c r="R80" s="285"/>
      <c r="S80" s="285"/>
      <c r="T80" s="282">
        <f>SUM(T78:T79)</f>
        <v>3960</v>
      </c>
      <c r="U80" s="281" t="s">
        <v>27</v>
      </c>
      <c r="V80" s="282">
        <f>SUM(V78:V79)</f>
        <v>0</v>
      </c>
      <c r="W80" s="281" t="s">
        <v>26</v>
      </c>
      <c r="X80" s="283">
        <f>SUM(X78:X79)</f>
        <v>3960</v>
      </c>
      <c r="Y80" s="52"/>
      <c r="Z80" s="286">
        <f>SUM(Z78:Z79)</f>
        <v>9295</v>
      </c>
      <c r="AA80" s="303"/>
      <c r="AB80" s="302"/>
      <c r="AC80" s="22"/>
      <c r="AD80" s="22"/>
      <c r="AE80" s="22"/>
      <c r="AF80" s="22"/>
      <c r="AG80" s="22"/>
      <c r="AH80" s="22"/>
      <c r="AI80" s="22"/>
      <c r="AJ80" s="22"/>
    </row>
    <row r="81" spans="1:39" ht="25.5" customHeight="1" x14ac:dyDescent="0.25">
      <c r="A81" s="14"/>
      <c r="B81" s="14"/>
      <c r="C81" s="362"/>
      <c r="D81" s="362"/>
      <c r="E81" s="362"/>
      <c r="F81" s="362"/>
      <c r="G81" s="362"/>
      <c r="H81" s="362"/>
      <c r="I81" s="362"/>
      <c r="J81" s="362"/>
      <c r="K81" s="363" t="s">
        <v>170</v>
      </c>
      <c r="L81" s="14"/>
      <c r="M81" s="14"/>
      <c r="N81" s="34"/>
      <c r="Y81" s="52"/>
      <c r="Z81" s="204"/>
      <c r="AA81" s="204"/>
      <c r="AB81" s="302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</row>
    <row r="82" spans="1:39" ht="18.7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287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9" ht="30" customHeight="1" x14ac:dyDescent="0.25">
      <c r="A83" s="14"/>
      <c r="B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287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9" ht="14.2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287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9" ht="14.2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287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9" ht="14.25" customHeight="1" x14ac:dyDescent="0.25">
      <c r="A86" s="14"/>
      <c r="B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87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9" ht="14.2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287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9" ht="14.2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287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9" ht="14.2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287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9" ht="14.2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287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9" ht="18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287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9" ht="14.2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287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9" ht="14.2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287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</row>
    <row r="94" spans="1:39" ht="14.2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287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</row>
    <row r="95" spans="1:39" ht="14.2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287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</row>
    <row r="96" spans="1:39" ht="14.2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287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</row>
    <row r="97" spans="1:39" ht="14.2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287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</row>
    <row r="98" spans="1:39" ht="14.2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287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</row>
    <row r="99" spans="1:39" ht="14.2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287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</row>
    <row r="100" spans="1:39" ht="14.2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287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</row>
    <row r="101" spans="1:39" ht="14.2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287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</row>
    <row r="102" spans="1:39" ht="14.2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287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</row>
    <row r="103" spans="1:39" ht="14.2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287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</row>
    <row r="104" spans="1:39" ht="14.2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287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</row>
    <row r="105" spans="1:39" ht="14.2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287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</row>
    <row r="106" spans="1:39" ht="14.2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287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</row>
    <row r="107" spans="1:39" ht="14.2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287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</row>
    <row r="108" spans="1:39" ht="14.2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287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</row>
    <row r="109" spans="1:39" ht="14.2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287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</row>
    <row r="110" spans="1:39" ht="14.2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287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</row>
    <row r="111" spans="1:39" ht="14.2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287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</row>
    <row r="112" spans="1:39" ht="14.2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287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</row>
    <row r="113" spans="1:39" ht="14.2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287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</row>
    <row r="114" spans="1:39" ht="14.2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287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</row>
    <row r="115" spans="1:39" ht="14.2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287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</row>
    <row r="116" spans="1:39" ht="14.2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287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</row>
    <row r="117" spans="1:39" ht="14.2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287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</row>
    <row r="118" spans="1:39" ht="14.2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287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</row>
    <row r="119" spans="1:39" ht="14.2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287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</row>
    <row r="120" spans="1:39" ht="14.2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287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</row>
    <row r="121" spans="1:39" ht="14.2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287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</row>
    <row r="122" spans="1:39" ht="14.2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287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</row>
    <row r="123" spans="1:39" ht="14.2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287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</row>
    <row r="124" spans="1:39" ht="14.2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287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</row>
    <row r="125" spans="1:39" ht="14.2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287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</row>
    <row r="126" spans="1:39" ht="14.2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287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</row>
    <row r="127" spans="1:39" ht="14.2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287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</row>
    <row r="128" spans="1:39" ht="14.2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287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</row>
    <row r="129" spans="1:39" ht="14.2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287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</row>
    <row r="130" spans="1:39" ht="14.2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287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</row>
    <row r="131" spans="1:39" ht="14.2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287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</row>
    <row r="132" spans="1:39" ht="14.2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287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</row>
    <row r="133" spans="1:39" ht="14.2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287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</row>
    <row r="134" spans="1:39" ht="14.2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287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</row>
    <row r="135" spans="1:39" ht="14.2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287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</row>
    <row r="136" spans="1:39" ht="14.2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287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</row>
    <row r="137" spans="1:39" ht="14.2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287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</row>
    <row r="138" spans="1:39" ht="14.2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287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</row>
    <row r="139" spans="1:39" ht="14.2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287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</row>
    <row r="140" spans="1:39" ht="14.2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287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</row>
    <row r="141" spans="1:39" ht="14.2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287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</row>
    <row r="142" spans="1:39" ht="14.2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287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</row>
    <row r="143" spans="1:39" ht="14.2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287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</row>
    <row r="144" spans="1:39" ht="14.2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287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</row>
    <row r="145" spans="1:39" ht="14.2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287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</row>
    <row r="146" spans="1:39" ht="14.2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287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</row>
    <row r="147" spans="1:39" ht="14.2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287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</row>
    <row r="148" spans="1:39" ht="14.2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287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</row>
    <row r="149" spans="1:39" ht="14.2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287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</row>
    <row r="150" spans="1:39" ht="14.2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287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</row>
    <row r="151" spans="1:39" ht="14.2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287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</row>
    <row r="152" spans="1:39" ht="14.2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287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</row>
    <row r="153" spans="1:39" ht="14.2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287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</row>
    <row r="154" spans="1:39" ht="14.2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287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</row>
    <row r="155" spans="1:39" ht="14.2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287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</row>
    <row r="156" spans="1:39" ht="14.2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287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</row>
    <row r="157" spans="1:39" ht="14.2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287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</row>
    <row r="158" spans="1:39" ht="14.2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287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</row>
    <row r="159" spans="1:39" ht="14.2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287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</row>
    <row r="160" spans="1:39" ht="14.2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287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</row>
    <row r="161" spans="1:39" ht="14.2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287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</row>
    <row r="162" spans="1:39" ht="14.2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287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</row>
    <row r="163" spans="1:39" ht="14.2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287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</row>
    <row r="164" spans="1:39" ht="14.2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287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</row>
    <row r="165" spans="1:39" ht="14.2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287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</row>
    <row r="166" spans="1:39" ht="14.2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287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</row>
    <row r="167" spans="1:39" ht="14.2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287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</row>
    <row r="168" spans="1:39" ht="14.2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287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</row>
    <row r="169" spans="1:39" ht="14.2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287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</row>
    <row r="170" spans="1:39" ht="14.2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287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</row>
    <row r="171" spans="1:39" ht="14.2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287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</row>
    <row r="172" spans="1:39" ht="14.2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287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</row>
    <row r="173" spans="1:39" ht="14.2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287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</row>
    <row r="174" spans="1:39" ht="14.2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287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</row>
    <row r="175" spans="1:39" ht="14.2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287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</row>
    <row r="176" spans="1:39" ht="14.2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287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</row>
    <row r="177" spans="1:39" ht="14.2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287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</row>
    <row r="178" spans="1:39" ht="14.2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287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</row>
    <row r="179" spans="1:39" ht="14.2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287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</row>
    <row r="180" spans="1:39" ht="14.2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287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</row>
    <row r="181" spans="1:39" ht="14.2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287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</row>
    <row r="182" spans="1:39" ht="14.2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287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</row>
    <row r="183" spans="1:39" ht="14.2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287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</row>
    <row r="184" spans="1:39" ht="14.2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287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</row>
    <row r="185" spans="1:39" ht="14.2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287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</row>
    <row r="186" spans="1:39" ht="14.2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287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</row>
    <row r="187" spans="1:39" ht="14.2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287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</row>
    <row r="188" spans="1:39" ht="14.2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287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</row>
    <row r="189" spans="1:39" ht="14.2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287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</row>
    <row r="190" spans="1:39" ht="14.2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287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</row>
    <row r="191" spans="1:39" ht="14.2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287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</row>
    <row r="192" spans="1:39" ht="14.2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287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</row>
    <row r="193" spans="1:39" ht="14.2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287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</row>
    <row r="194" spans="1:39" ht="14.2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287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</row>
    <row r="195" spans="1:39" ht="14.2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287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</row>
    <row r="196" spans="1:39" ht="14.2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287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</row>
    <row r="197" spans="1:39" ht="14.2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287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</row>
    <row r="198" spans="1:39" ht="14.2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287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</row>
    <row r="199" spans="1:39" ht="14.2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287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</row>
    <row r="200" spans="1:39" ht="14.2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287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</row>
    <row r="201" spans="1:39" ht="14.2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287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</row>
    <row r="202" spans="1:39" ht="14.2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287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</row>
    <row r="203" spans="1:39" ht="14.2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287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</row>
    <row r="204" spans="1:39" ht="14.2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287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</row>
    <row r="205" spans="1:39" ht="14.2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287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</row>
    <row r="206" spans="1:39" ht="14.2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287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</row>
    <row r="207" spans="1:39" ht="14.2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287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</row>
    <row r="208" spans="1:39" ht="14.2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287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</row>
    <row r="209" spans="1:39" ht="14.2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287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</row>
    <row r="210" spans="1:39" ht="14.2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287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</row>
    <row r="211" spans="1:39" ht="14.2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287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</row>
    <row r="212" spans="1:39" ht="14.2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287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</row>
    <row r="213" spans="1:39" ht="14.2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287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</row>
    <row r="214" spans="1:39" ht="14.2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287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</row>
    <row r="215" spans="1:39" ht="14.2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287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</row>
    <row r="216" spans="1:39" ht="14.2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287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</row>
    <row r="217" spans="1:39" ht="14.2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287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</row>
    <row r="218" spans="1:39" ht="14.2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287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</row>
    <row r="219" spans="1:39" ht="14.2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287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</row>
    <row r="220" spans="1:39" ht="14.2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287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</row>
    <row r="221" spans="1:39" ht="14.2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287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</row>
    <row r="222" spans="1:39" ht="14.2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287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</row>
    <row r="223" spans="1:39" ht="14.2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287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</row>
    <row r="224" spans="1:39" ht="14.2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287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</row>
    <row r="225" spans="1:39" ht="14.2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287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</row>
    <row r="226" spans="1:39" ht="14.2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287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</row>
    <row r="227" spans="1:39" ht="14.2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287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</row>
    <row r="228" spans="1:39" ht="14.2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287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</row>
    <row r="229" spans="1:39" ht="14.2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287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</row>
    <row r="230" spans="1:39" ht="14.2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287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</row>
    <row r="231" spans="1:39" ht="14.2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287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</row>
    <row r="232" spans="1:39" ht="14.2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287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</row>
    <row r="233" spans="1:39" ht="14.2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287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</row>
    <row r="234" spans="1:39" ht="14.2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287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</row>
    <row r="235" spans="1:39" ht="14.2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287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</row>
    <row r="236" spans="1:39" ht="14.2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287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</row>
    <row r="237" spans="1:39" ht="14.2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287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</row>
    <row r="238" spans="1:39" ht="14.2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287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</row>
    <row r="239" spans="1:39" ht="14.2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287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</row>
    <row r="240" spans="1:39" ht="14.2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287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</row>
    <row r="241" spans="1:39" ht="14.2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287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</row>
    <row r="242" spans="1:39" ht="14.2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287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</row>
    <row r="243" spans="1:39" ht="14.2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287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</row>
    <row r="244" spans="1:39" ht="14.2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287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</row>
    <row r="245" spans="1:39" ht="14.2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287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</row>
    <row r="246" spans="1:39" ht="14.2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287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</row>
    <row r="247" spans="1:39" ht="14.2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287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</row>
    <row r="248" spans="1:39" ht="14.2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287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</row>
    <row r="249" spans="1:39" ht="14.2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287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</row>
    <row r="250" spans="1:39" ht="14.2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287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</row>
    <row r="251" spans="1:39" ht="14.25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287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</row>
    <row r="252" spans="1:39" ht="14.25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287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</row>
    <row r="253" spans="1:39" ht="14.25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287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</row>
    <row r="254" spans="1:39" ht="14.25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287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</row>
    <row r="255" spans="1:39" ht="14.25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287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</row>
    <row r="256" spans="1:39" ht="14.25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287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</row>
    <row r="257" spans="1:39" ht="14.25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287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</row>
    <row r="258" spans="1:39" ht="14.25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287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</row>
    <row r="259" spans="1:39" ht="14.25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287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</row>
    <row r="260" spans="1:39" ht="14.25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287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</row>
    <row r="261" spans="1:39" ht="14.2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287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</row>
    <row r="262" spans="1:39" ht="14.25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287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</row>
    <row r="263" spans="1:39" ht="14.25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287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</row>
    <row r="264" spans="1:39" ht="14.25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287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</row>
    <row r="265" spans="1:39" ht="14.25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287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</row>
    <row r="266" spans="1:39" ht="14.25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287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</row>
    <row r="267" spans="1:39" ht="14.25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287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</row>
    <row r="268" spans="1:39" ht="14.25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287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</row>
    <row r="269" spans="1:39" ht="14.25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287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</row>
    <row r="270" spans="1:39" ht="14.25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287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</row>
    <row r="271" spans="1:39" ht="14.2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287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</row>
    <row r="272" spans="1:39" ht="14.25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287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</row>
    <row r="273" spans="1:39" ht="14.25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287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</row>
    <row r="274" spans="1:39" ht="14.25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287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</row>
    <row r="275" spans="1:39" ht="14.25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287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</row>
    <row r="276" spans="1:39" ht="14.25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287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</row>
    <row r="277" spans="1:39" ht="14.25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287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</row>
    <row r="278" spans="1:39" ht="14.25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287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</row>
    <row r="279" spans="1:39" ht="14.25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287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</row>
    <row r="280" spans="1:39" ht="14.25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287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</row>
    <row r="281" spans="1:39" ht="14.25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287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</row>
    <row r="282" spans="1:39" ht="14.25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287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</row>
    <row r="283" spans="1:39" ht="14.2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287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</row>
    <row r="284" spans="1:39" ht="14.2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287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</row>
    <row r="285" spans="1:39" ht="14.25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287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</row>
    <row r="286" spans="1:39" ht="14.25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287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</row>
    <row r="287" spans="1:39" ht="14.25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287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</row>
    <row r="288" spans="1:39" ht="14.25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287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</row>
    <row r="289" spans="1:39" ht="14.25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287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</row>
    <row r="290" spans="1:39" ht="14.25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287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</row>
    <row r="291" spans="1:39" ht="14.25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287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</row>
    <row r="292" spans="1:39" ht="14.25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287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</row>
    <row r="293" spans="1:39" ht="14.25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287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</row>
    <row r="294" spans="1:39" ht="14.25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287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</row>
    <row r="295" spans="1:39" ht="14.25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287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</row>
    <row r="296" spans="1:39" ht="14.25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287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</row>
    <row r="297" spans="1:39" ht="14.25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287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</row>
    <row r="298" spans="1:39" ht="14.25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287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</row>
    <row r="299" spans="1:39" ht="14.25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287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</row>
    <row r="300" spans="1:39" ht="14.25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287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</row>
    <row r="301" spans="1:39" ht="14.25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287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</row>
    <row r="302" spans="1:39" ht="14.25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287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</row>
    <row r="303" spans="1:39" ht="14.25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287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</row>
    <row r="304" spans="1:39" ht="14.25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287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</row>
    <row r="305" spans="1:39" ht="14.25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287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</row>
    <row r="306" spans="1:39" ht="14.25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287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</row>
    <row r="307" spans="1:39" ht="14.25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287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</row>
    <row r="308" spans="1:39" ht="14.2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287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</row>
    <row r="309" spans="1:39" ht="14.25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287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</row>
    <row r="310" spans="1:39" ht="14.25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287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</row>
    <row r="311" spans="1:39" ht="14.25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287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</row>
    <row r="312" spans="1:39" ht="14.25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287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</row>
    <row r="313" spans="1:39" ht="14.25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287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</row>
    <row r="314" spans="1:39" ht="14.25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287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</row>
    <row r="315" spans="1:39" ht="14.25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287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</row>
    <row r="316" spans="1:39" ht="14.25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287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</row>
    <row r="317" spans="1:39" ht="14.25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287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</row>
    <row r="318" spans="1:39" ht="14.25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287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</row>
    <row r="319" spans="1:39" ht="14.25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287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</row>
    <row r="320" spans="1:39" ht="14.25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287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</row>
    <row r="321" spans="1:39" ht="14.2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287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</row>
    <row r="322" spans="1:39" ht="14.25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287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</row>
    <row r="323" spans="1:39" ht="14.25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287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</row>
    <row r="324" spans="1:39" ht="14.25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287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</row>
    <row r="325" spans="1:39" ht="14.25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287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</row>
    <row r="326" spans="1:39" ht="14.25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287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</row>
    <row r="327" spans="1:39" ht="14.25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287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</row>
    <row r="328" spans="1:39" ht="14.25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287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</row>
    <row r="329" spans="1:39" ht="14.25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287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</row>
    <row r="330" spans="1:39" ht="14.25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287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</row>
    <row r="331" spans="1:39" ht="14.25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287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</row>
    <row r="332" spans="1:39" ht="14.25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287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</row>
    <row r="333" spans="1:39" ht="14.25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287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</row>
    <row r="334" spans="1:39" ht="14.25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287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</row>
    <row r="335" spans="1:39" ht="14.25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287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</row>
    <row r="336" spans="1:39" ht="14.25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287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</row>
    <row r="337" spans="1:39" ht="14.25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287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</row>
    <row r="338" spans="1:39" ht="14.25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287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</row>
    <row r="339" spans="1:39" ht="14.25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287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</row>
    <row r="340" spans="1:39" ht="14.25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287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</row>
    <row r="341" spans="1:39" ht="14.25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287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</row>
    <row r="342" spans="1:39" ht="14.25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287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</row>
    <row r="343" spans="1:39" ht="14.25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287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</row>
    <row r="344" spans="1:39" ht="14.25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287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</row>
    <row r="345" spans="1:39" ht="14.2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287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</row>
    <row r="346" spans="1:39" ht="14.2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287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</row>
    <row r="347" spans="1:39" ht="14.25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287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</row>
    <row r="348" spans="1:39" ht="14.25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287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</row>
    <row r="349" spans="1:39" ht="14.25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287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</row>
    <row r="350" spans="1:39" ht="14.25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287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</row>
    <row r="351" spans="1:39" ht="14.25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287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</row>
    <row r="352" spans="1:39" ht="14.25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287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</row>
    <row r="353" spans="1:39" ht="14.25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287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</row>
    <row r="354" spans="1:39" ht="14.25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287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</row>
    <row r="355" spans="1:39" ht="14.25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287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</row>
    <row r="356" spans="1:39" ht="14.25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287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</row>
    <row r="357" spans="1:39" ht="14.25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287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</row>
    <row r="358" spans="1:39" ht="14.2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287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</row>
    <row r="359" spans="1:39" ht="14.25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287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</row>
    <row r="360" spans="1:39" ht="14.25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287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</row>
    <row r="361" spans="1:39" ht="14.25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287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</row>
    <row r="362" spans="1:39" ht="14.25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287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</row>
    <row r="363" spans="1:39" ht="14.25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287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</row>
    <row r="364" spans="1:39" ht="14.25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287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</row>
    <row r="365" spans="1:39" ht="14.25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287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</row>
    <row r="366" spans="1:39" ht="14.25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287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</row>
    <row r="367" spans="1:39" ht="14.25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287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</row>
    <row r="368" spans="1:39" ht="14.25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287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</row>
    <row r="369" spans="1:39" ht="14.25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287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</row>
    <row r="370" spans="1:39" ht="14.25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287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</row>
    <row r="371" spans="1:39" ht="14.25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287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</row>
    <row r="372" spans="1:39" ht="14.25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287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</row>
    <row r="373" spans="1:39" ht="14.25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287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</row>
    <row r="374" spans="1:39" ht="14.25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287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</row>
    <row r="375" spans="1:39" ht="14.25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287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</row>
    <row r="376" spans="1:39" ht="14.25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287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</row>
    <row r="377" spans="1:39" ht="14.25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287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</row>
    <row r="378" spans="1:39" ht="14.25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287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</row>
    <row r="379" spans="1:39" ht="14.25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287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</row>
    <row r="380" spans="1:39" ht="14.25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287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</row>
    <row r="381" spans="1:39" ht="14.25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287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</row>
    <row r="382" spans="1:39" ht="14.2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287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</row>
    <row r="383" spans="1:39" ht="14.25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287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</row>
    <row r="384" spans="1:39" ht="14.25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287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</row>
    <row r="385" spans="1:39" ht="14.25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287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</row>
    <row r="386" spans="1:39" ht="14.25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287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</row>
    <row r="387" spans="1:39" ht="14.25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287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</row>
    <row r="388" spans="1:39" ht="14.25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287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</row>
    <row r="389" spans="1:39" ht="14.25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287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</row>
    <row r="390" spans="1:39" ht="14.25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287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</row>
    <row r="391" spans="1:39" ht="14.25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287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</row>
    <row r="392" spans="1:39" ht="14.25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287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</row>
    <row r="393" spans="1:39" ht="14.25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287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</row>
    <row r="394" spans="1:39" ht="14.25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287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</row>
    <row r="395" spans="1:39" ht="14.2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287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</row>
    <row r="396" spans="1:39" ht="14.25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287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</row>
    <row r="397" spans="1:39" ht="14.25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287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</row>
    <row r="398" spans="1:39" ht="14.25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287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</row>
    <row r="399" spans="1:39" ht="14.25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287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</row>
    <row r="400" spans="1:39" ht="14.25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287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</row>
    <row r="401" spans="1:39" ht="14.25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287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</row>
    <row r="402" spans="1:39" ht="14.25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287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</row>
    <row r="403" spans="1:39" ht="14.25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287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</row>
    <row r="404" spans="1:39" ht="14.25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287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</row>
    <row r="405" spans="1:39" ht="14.25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287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</row>
    <row r="406" spans="1:39" ht="14.25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287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</row>
    <row r="407" spans="1:39" ht="14.25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287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</row>
    <row r="408" spans="1:39" ht="14.25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287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</row>
    <row r="409" spans="1:39" ht="14.25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287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</row>
    <row r="410" spans="1:39" ht="14.25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287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</row>
    <row r="411" spans="1:39" ht="14.25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287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</row>
    <row r="412" spans="1:39" ht="14.25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287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</row>
    <row r="413" spans="1:39" ht="14.25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287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</row>
    <row r="414" spans="1:39" ht="14.25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287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</row>
    <row r="415" spans="1:39" ht="14.25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287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</row>
    <row r="416" spans="1:39" ht="14.25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287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</row>
    <row r="417" spans="1:39" ht="14.25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287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</row>
    <row r="418" spans="1:39" ht="14.25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287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</row>
    <row r="419" spans="1:39" ht="14.2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287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</row>
    <row r="420" spans="1:39" ht="14.25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287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</row>
    <row r="421" spans="1:39" ht="14.25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287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</row>
    <row r="422" spans="1:39" ht="14.25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287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</row>
    <row r="423" spans="1:39" ht="14.25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287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</row>
    <row r="424" spans="1:39" ht="14.25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287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</row>
    <row r="425" spans="1:39" ht="14.25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287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</row>
    <row r="426" spans="1:39" ht="14.25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287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</row>
    <row r="427" spans="1:39" ht="14.25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287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</row>
    <row r="428" spans="1:39" ht="14.25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287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</row>
    <row r="429" spans="1:39" ht="14.25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287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</row>
    <row r="430" spans="1:39" ht="14.25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287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</row>
    <row r="431" spans="1:39" ht="14.25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287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</row>
    <row r="432" spans="1:39" ht="14.2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287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</row>
    <row r="433" spans="1:39" ht="14.25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287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</row>
    <row r="434" spans="1:39" ht="14.25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287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</row>
    <row r="435" spans="1:39" ht="14.25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287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</row>
    <row r="436" spans="1:39" ht="14.25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287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</row>
    <row r="437" spans="1:39" ht="14.25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287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</row>
    <row r="438" spans="1:39" ht="14.25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287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</row>
    <row r="439" spans="1:39" ht="14.25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287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</row>
    <row r="440" spans="1:39" ht="14.25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287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</row>
    <row r="441" spans="1:39" ht="14.25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287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</row>
    <row r="442" spans="1:39" ht="14.25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287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</row>
    <row r="443" spans="1:39" ht="14.25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287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</row>
    <row r="444" spans="1:39" ht="14.25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287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</row>
    <row r="445" spans="1:39" ht="14.25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287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</row>
    <row r="446" spans="1:39" ht="14.25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287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</row>
    <row r="447" spans="1:39" ht="14.25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287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</row>
    <row r="448" spans="1:39" ht="14.25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287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</row>
    <row r="449" spans="1:39" ht="14.25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287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</row>
    <row r="450" spans="1:39" ht="14.25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287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</row>
    <row r="451" spans="1:39" ht="14.25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287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</row>
    <row r="452" spans="1:39" ht="14.25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287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</row>
    <row r="453" spans="1:39" ht="14.25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287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</row>
    <row r="454" spans="1:39" ht="14.25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287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</row>
    <row r="455" spans="1:39" ht="14.25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287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</row>
    <row r="456" spans="1:39" ht="14.2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287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</row>
    <row r="457" spans="1:39" ht="14.25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287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</row>
    <row r="458" spans="1:39" ht="14.25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287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</row>
    <row r="459" spans="1:39" ht="14.25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287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</row>
    <row r="460" spans="1:39" ht="14.25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287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</row>
    <row r="461" spans="1:39" ht="14.25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287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</row>
    <row r="462" spans="1:39" ht="14.25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287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</row>
    <row r="463" spans="1:39" ht="14.25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287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</row>
    <row r="464" spans="1:39" ht="14.25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287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</row>
    <row r="465" spans="1:39" ht="14.25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287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</row>
    <row r="466" spans="1:39" ht="14.25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287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</row>
    <row r="467" spans="1:39" ht="14.25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287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</row>
    <row r="468" spans="1:39" ht="14.25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287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</row>
    <row r="469" spans="1:39" ht="14.2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287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</row>
    <row r="470" spans="1:39" ht="14.25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287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</row>
    <row r="471" spans="1:39" ht="14.25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287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</row>
    <row r="472" spans="1:39" ht="14.25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287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</row>
    <row r="473" spans="1:39" ht="14.25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287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</row>
    <row r="474" spans="1:39" ht="14.25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287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</row>
    <row r="475" spans="1:39" ht="14.25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287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</row>
    <row r="476" spans="1:39" ht="14.25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287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</row>
    <row r="477" spans="1:39" ht="14.25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287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</row>
    <row r="478" spans="1:39" ht="14.25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287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</row>
    <row r="479" spans="1:39" ht="14.25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287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</row>
    <row r="480" spans="1:39" ht="14.25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287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</row>
    <row r="481" spans="1:39" ht="14.25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287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</row>
    <row r="482" spans="1:39" ht="14.25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287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</row>
    <row r="483" spans="1:39" ht="14.25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287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</row>
    <row r="484" spans="1:39" ht="14.25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287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</row>
    <row r="485" spans="1:39" ht="14.25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287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</row>
    <row r="486" spans="1:39" ht="14.25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287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</row>
    <row r="487" spans="1:39" ht="14.25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287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</row>
    <row r="488" spans="1:39" ht="14.25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287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</row>
    <row r="489" spans="1:39" ht="14.25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287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</row>
    <row r="490" spans="1:39" ht="14.25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287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</row>
    <row r="491" spans="1:39" ht="14.25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287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</row>
    <row r="492" spans="1:39" ht="14.25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287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</row>
    <row r="493" spans="1:39" ht="14.2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287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</row>
    <row r="494" spans="1:39" ht="14.25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287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</row>
    <row r="495" spans="1:39" ht="14.25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287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</row>
    <row r="496" spans="1:39" ht="14.25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287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</row>
    <row r="497" spans="1:39" ht="14.25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287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</row>
    <row r="498" spans="1:39" ht="14.25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287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</row>
    <row r="499" spans="1:39" ht="14.25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287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</row>
    <row r="500" spans="1:39" ht="14.25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287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</row>
    <row r="501" spans="1:39" ht="14.25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287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</row>
    <row r="502" spans="1:39" ht="14.25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287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</row>
    <row r="503" spans="1:39" ht="14.25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287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</row>
    <row r="504" spans="1:39" ht="14.25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287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</row>
    <row r="505" spans="1:39" ht="14.25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287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</row>
    <row r="506" spans="1:39" ht="14.2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287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</row>
    <row r="507" spans="1:39" ht="14.25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287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</row>
    <row r="508" spans="1:39" ht="14.25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287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</row>
    <row r="509" spans="1:39" ht="14.25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287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</row>
    <row r="510" spans="1:39" ht="14.25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287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</row>
    <row r="511" spans="1:39" ht="14.25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287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</row>
    <row r="512" spans="1:39" ht="14.25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287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</row>
    <row r="513" spans="1:39" ht="14.25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287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</row>
    <row r="514" spans="1:39" ht="14.25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287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</row>
    <row r="515" spans="1:39" ht="14.25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287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</row>
    <row r="516" spans="1:39" ht="14.25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287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</row>
    <row r="517" spans="1:39" ht="14.25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287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</row>
    <row r="518" spans="1:39" ht="14.25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287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</row>
    <row r="519" spans="1:39" ht="14.25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287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</row>
    <row r="520" spans="1:39" ht="14.25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287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</row>
    <row r="521" spans="1:39" ht="14.25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287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</row>
    <row r="522" spans="1:39" ht="14.25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287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</row>
    <row r="523" spans="1:39" ht="14.25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287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</row>
    <row r="524" spans="1:39" ht="14.25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287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</row>
    <row r="525" spans="1:39" ht="14.25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287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</row>
    <row r="526" spans="1:39" ht="14.25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287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</row>
    <row r="527" spans="1:39" ht="14.25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287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</row>
    <row r="528" spans="1:39" ht="14.25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287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</row>
    <row r="529" spans="1:39" ht="14.25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287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</row>
    <row r="530" spans="1:39" ht="14.2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287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</row>
    <row r="531" spans="1:39" ht="14.25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287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</row>
    <row r="532" spans="1:39" ht="14.25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287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</row>
    <row r="533" spans="1:39" ht="14.25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287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</row>
    <row r="534" spans="1:39" ht="14.25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287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</row>
    <row r="535" spans="1:39" ht="14.25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287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</row>
    <row r="536" spans="1:39" ht="14.25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287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</row>
    <row r="537" spans="1:39" ht="14.25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287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</row>
    <row r="538" spans="1:39" ht="14.25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287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</row>
    <row r="539" spans="1:39" ht="14.25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287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</row>
    <row r="540" spans="1:39" ht="14.25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287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</row>
    <row r="541" spans="1:39" ht="14.25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287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</row>
    <row r="542" spans="1:39" ht="14.25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287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</row>
    <row r="543" spans="1:39" ht="14.2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287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</row>
    <row r="544" spans="1:39" ht="14.25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287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</row>
    <row r="545" spans="1:39" ht="14.25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287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</row>
    <row r="546" spans="1:39" ht="14.25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287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</row>
    <row r="547" spans="1:39" ht="14.25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287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</row>
    <row r="548" spans="1:39" ht="14.25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287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</row>
    <row r="549" spans="1:39" ht="14.25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287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</row>
    <row r="550" spans="1:39" ht="14.25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287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</row>
    <row r="551" spans="1:39" ht="14.25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287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</row>
    <row r="552" spans="1:39" ht="14.25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287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</row>
    <row r="553" spans="1:39" ht="14.25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287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</row>
    <row r="554" spans="1:39" ht="14.25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287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</row>
    <row r="555" spans="1:39" ht="14.25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287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</row>
    <row r="556" spans="1:39" ht="14.25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287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</row>
    <row r="557" spans="1:39" ht="14.25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287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</row>
    <row r="558" spans="1:39" ht="14.25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287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</row>
    <row r="559" spans="1:39" ht="14.25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287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</row>
    <row r="560" spans="1:39" ht="14.25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287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</row>
    <row r="561" spans="1:39" ht="14.25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287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</row>
    <row r="562" spans="1:39" ht="14.25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287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</row>
    <row r="563" spans="1:39" ht="14.25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287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</row>
    <row r="564" spans="1:39" ht="14.25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287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</row>
    <row r="565" spans="1:39" ht="14.25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287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</row>
    <row r="566" spans="1:39" ht="14.25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287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</row>
    <row r="567" spans="1:39" ht="14.2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287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</row>
    <row r="568" spans="1:39" ht="14.25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287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</row>
    <row r="569" spans="1:39" ht="14.25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287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</row>
    <row r="570" spans="1:39" ht="14.25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287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</row>
    <row r="571" spans="1:39" ht="14.25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287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</row>
    <row r="572" spans="1:39" ht="14.25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287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</row>
    <row r="573" spans="1:39" ht="14.25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287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</row>
    <row r="574" spans="1:39" ht="14.25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287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</row>
    <row r="575" spans="1:39" ht="14.25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287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</row>
    <row r="576" spans="1:39" ht="14.25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287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</row>
    <row r="577" spans="1:39" ht="14.25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287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</row>
    <row r="578" spans="1:39" ht="14.25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287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</row>
    <row r="579" spans="1:39" ht="14.25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287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</row>
    <row r="580" spans="1:39" ht="14.2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287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</row>
    <row r="581" spans="1:39" ht="14.25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287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</row>
    <row r="582" spans="1:39" ht="14.25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287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</row>
    <row r="583" spans="1:39" ht="14.25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287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</row>
    <row r="584" spans="1:39" ht="14.25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287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</row>
    <row r="585" spans="1:39" ht="14.25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287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</row>
    <row r="586" spans="1:39" ht="14.25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287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</row>
    <row r="587" spans="1:39" ht="14.25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287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</row>
    <row r="588" spans="1:39" ht="14.25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287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</row>
    <row r="589" spans="1:39" ht="14.25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287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</row>
    <row r="590" spans="1:39" ht="14.25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287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</row>
    <row r="591" spans="1:39" ht="14.25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287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</row>
    <row r="592" spans="1:39" ht="14.25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287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</row>
    <row r="593" spans="1:39" ht="14.25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287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</row>
    <row r="594" spans="1:39" ht="14.25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287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</row>
    <row r="595" spans="1:39" ht="14.25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287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</row>
    <row r="596" spans="1:39" ht="14.25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287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</row>
    <row r="597" spans="1:39" ht="14.25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287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</row>
    <row r="598" spans="1:39" ht="14.25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287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</row>
    <row r="599" spans="1:39" ht="14.25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287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</row>
    <row r="600" spans="1:39" ht="14.25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287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</row>
    <row r="601" spans="1:39" ht="14.25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287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</row>
    <row r="602" spans="1:39" ht="14.25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287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</row>
    <row r="603" spans="1:39" ht="14.25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287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</row>
    <row r="604" spans="1:39" ht="14.2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287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</row>
    <row r="605" spans="1:39" ht="14.25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287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</row>
    <row r="606" spans="1:39" ht="14.25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287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</row>
    <row r="607" spans="1:39" ht="14.25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287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</row>
    <row r="608" spans="1:39" ht="14.25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287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</row>
    <row r="609" spans="1:39" ht="14.25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287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</row>
    <row r="610" spans="1:39" ht="14.25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287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</row>
    <row r="611" spans="1:39" ht="14.25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287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</row>
    <row r="612" spans="1:39" ht="14.25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287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</row>
    <row r="613" spans="1:39" ht="14.25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287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</row>
    <row r="614" spans="1:39" ht="14.25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287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</row>
    <row r="615" spans="1:39" ht="14.25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287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</row>
    <row r="616" spans="1:39" ht="14.25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287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</row>
    <row r="617" spans="1:39" ht="14.2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287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</row>
    <row r="618" spans="1:39" ht="14.25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287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</row>
    <row r="619" spans="1:39" ht="14.25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287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</row>
    <row r="620" spans="1:39" ht="14.25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287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</row>
    <row r="621" spans="1:39" ht="14.25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287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</row>
    <row r="622" spans="1:39" ht="14.25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287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</row>
    <row r="623" spans="1:39" ht="14.25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287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</row>
    <row r="624" spans="1:39" ht="14.25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287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</row>
    <row r="625" spans="1:39" ht="14.25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287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</row>
    <row r="626" spans="1:39" ht="14.25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287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</row>
    <row r="627" spans="1:39" ht="14.25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287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</row>
    <row r="628" spans="1:39" ht="14.25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287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</row>
    <row r="629" spans="1:39" ht="14.25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287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</row>
    <row r="630" spans="1:39" ht="14.25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287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</row>
    <row r="631" spans="1:39" ht="14.25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287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</row>
    <row r="632" spans="1:39" ht="14.25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287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</row>
    <row r="633" spans="1:39" ht="14.25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287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</row>
    <row r="634" spans="1:39" ht="14.25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287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</row>
    <row r="635" spans="1:39" ht="14.25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287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</row>
    <row r="636" spans="1:39" ht="14.25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287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</row>
    <row r="637" spans="1:39" ht="14.25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287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</row>
    <row r="638" spans="1:39" ht="14.25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287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</row>
    <row r="639" spans="1:39" ht="14.25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287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</row>
    <row r="640" spans="1:39" ht="14.25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287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</row>
    <row r="641" spans="1:39" ht="14.2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287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</row>
    <row r="642" spans="1:39" ht="14.25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287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</row>
    <row r="643" spans="1:39" ht="14.25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287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</row>
    <row r="644" spans="1:39" ht="14.25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287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</row>
    <row r="645" spans="1:39" ht="14.25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287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</row>
    <row r="646" spans="1:39" ht="14.25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287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</row>
    <row r="647" spans="1:39" ht="14.25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287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</row>
    <row r="648" spans="1:39" ht="14.25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287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</row>
    <row r="649" spans="1:39" ht="14.25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287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</row>
    <row r="650" spans="1:39" ht="14.25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287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</row>
    <row r="651" spans="1:39" ht="14.25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287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</row>
    <row r="652" spans="1:39" ht="14.25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287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</row>
    <row r="653" spans="1:39" ht="14.25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287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</row>
    <row r="654" spans="1:39" ht="14.2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287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</row>
    <row r="655" spans="1:39" ht="14.25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287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</row>
    <row r="656" spans="1:39" ht="14.25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287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</row>
    <row r="657" spans="1:39" ht="14.25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287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</row>
    <row r="658" spans="1:39" ht="14.25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287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</row>
    <row r="659" spans="1:39" ht="14.25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287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</row>
    <row r="660" spans="1:39" ht="14.25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287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</row>
    <row r="661" spans="1:39" ht="14.25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287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</row>
    <row r="662" spans="1:39" ht="14.25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287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</row>
    <row r="663" spans="1:39" ht="14.25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287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</row>
    <row r="664" spans="1:39" ht="14.25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287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</row>
    <row r="665" spans="1:39" ht="14.25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287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</row>
    <row r="666" spans="1:39" ht="14.25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287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</row>
    <row r="667" spans="1:39" ht="14.25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287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</row>
    <row r="668" spans="1:39" ht="14.25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287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</row>
    <row r="669" spans="1:39" ht="14.25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287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</row>
    <row r="670" spans="1:39" ht="14.25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287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</row>
    <row r="671" spans="1:39" ht="14.25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287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</row>
    <row r="672" spans="1:39" ht="14.25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287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</row>
    <row r="673" spans="1:39" ht="14.25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287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</row>
    <row r="674" spans="1:39" ht="14.25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287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</row>
    <row r="675" spans="1:39" ht="14.25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287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</row>
    <row r="676" spans="1:39" ht="14.25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287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</row>
    <row r="677" spans="1:39" ht="14.25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287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</row>
    <row r="678" spans="1:39" ht="14.2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287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</row>
    <row r="679" spans="1:39" ht="14.25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287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</row>
    <row r="680" spans="1:39" ht="14.25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287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</row>
    <row r="681" spans="1:39" ht="14.25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287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</row>
    <row r="682" spans="1:39" ht="14.25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287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</row>
    <row r="683" spans="1:39" ht="14.25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287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</row>
    <row r="684" spans="1:39" ht="14.25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287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</row>
    <row r="685" spans="1:39" ht="14.25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287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</row>
    <row r="686" spans="1:39" ht="14.25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287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</row>
    <row r="687" spans="1:39" ht="14.25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287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</row>
    <row r="688" spans="1:39" ht="14.25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287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</row>
    <row r="689" spans="1:39" ht="14.25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287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</row>
    <row r="690" spans="1:39" ht="14.25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287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</row>
    <row r="691" spans="1:39" ht="14.2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287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</row>
    <row r="692" spans="1:39" ht="14.25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287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</row>
    <row r="693" spans="1:39" ht="14.25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287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</row>
    <row r="694" spans="1:39" ht="14.25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287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</row>
    <row r="695" spans="1:39" ht="14.25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287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</row>
    <row r="696" spans="1:39" ht="14.25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287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</row>
    <row r="697" spans="1:39" ht="14.25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287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</row>
    <row r="698" spans="1:39" ht="14.25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287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</row>
    <row r="699" spans="1:39" ht="14.25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287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</row>
    <row r="700" spans="1:39" ht="14.25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287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</row>
    <row r="701" spans="1:39" ht="14.25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287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</row>
    <row r="702" spans="1:39" ht="14.25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287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</row>
    <row r="703" spans="1:39" ht="14.25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287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</row>
    <row r="704" spans="1:39" ht="14.25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287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</row>
    <row r="705" spans="1:39" ht="14.25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287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</row>
    <row r="706" spans="1:39" ht="14.25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287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</row>
    <row r="707" spans="1:39" ht="14.25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287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</row>
    <row r="708" spans="1:39" ht="14.25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287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</row>
    <row r="709" spans="1:39" ht="14.25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287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</row>
    <row r="710" spans="1:39" ht="14.25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287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</row>
    <row r="711" spans="1:39" ht="14.25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287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</row>
    <row r="712" spans="1:39" ht="14.25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287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</row>
    <row r="713" spans="1:39" ht="14.25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287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</row>
    <row r="714" spans="1:39" ht="14.25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287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</row>
    <row r="715" spans="1:39" ht="14.2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287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</row>
    <row r="716" spans="1:39" ht="14.25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287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</row>
    <row r="717" spans="1:39" ht="14.25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287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</row>
    <row r="718" spans="1:39" ht="14.25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287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</row>
    <row r="719" spans="1:39" ht="14.25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287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</row>
    <row r="720" spans="1:39" ht="14.25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287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</row>
    <row r="721" spans="1:39" ht="14.25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287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</row>
    <row r="722" spans="1:39" ht="14.25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287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</row>
    <row r="723" spans="1:39" ht="14.25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287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</row>
    <row r="724" spans="1:39" ht="14.25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287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</row>
    <row r="725" spans="1:39" ht="14.25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287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</row>
    <row r="726" spans="1:39" ht="14.25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287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</row>
    <row r="727" spans="1:39" ht="14.25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287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</row>
    <row r="728" spans="1:39" ht="14.2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287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</row>
    <row r="729" spans="1:39" ht="14.25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287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</row>
    <row r="730" spans="1:39" ht="14.25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287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</row>
    <row r="731" spans="1:39" ht="14.25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287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</row>
    <row r="732" spans="1:39" ht="14.25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287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</row>
    <row r="733" spans="1:39" ht="14.25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287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</row>
    <row r="734" spans="1:39" ht="14.25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287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</row>
    <row r="735" spans="1:39" ht="14.25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287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</row>
    <row r="736" spans="1:39" ht="14.25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287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</row>
    <row r="737" spans="1:39" ht="14.25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287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</row>
    <row r="738" spans="1:39" ht="14.25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287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</row>
    <row r="739" spans="1:39" ht="14.25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287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</row>
    <row r="740" spans="1:39" ht="14.25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287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</row>
    <row r="741" spans="1:39" ht="14.25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287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</row>
    <row r="742" spans="1:39" ht="14.25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287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</row>
    <row r="743" spans="1:39" ht="14.25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287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</row>
    <row r="744" spans="1:39" ht="14.25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287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</row>
    <row r="745" spans="1:39" ht="14.25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287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</row>
    <row r="746" spans="1:39" ht="14.25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287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</row>
    <row r="747" spans="1:39" ht="14.25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287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</row>
    <row r="748" spans="1:39" ht="14.25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287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</row>
    <row r="749" spans="1:39" ht="14.25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287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</row>
    <row r="750" spans="1:39" ht="14.25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287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</row>
    <row r="751" spans="1:39" ht="14.25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287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</row>
    <row r="752" spans="1:39" ht="14.2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287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</row>
    <row r="753" spans="1:39" ht="14.25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287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</row>
    <row r="754" spans="1:39" ht="14.25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287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</row>
    <row r="755" spans="1:39" ht="14.25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287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</row>
    <row r="756" spans="1:39" ht="14.25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287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</row>
    <row r="757" spans="1:39" ht="14.25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287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</row>
    <row r="758" spans="1:39" ht="14.25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287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</row>
    <row r="759" spans="1:39" ht="14.25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287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</row>
    <row r="760" spans="1:39" ht="14.25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287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</row>
    <row r="761" spans="1:39" ht="14.25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287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</row>
    <row r="762" spans="1:39" ht="14.25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287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</row>
    <row r="763" spans="1:39" ht="14.25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287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</row>
    <row r="764" spans="1:39" ht="14.25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287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</row>
    <row r="765" spans="1:39" ht="14.2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287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</row>
    <row r="766" spans="1:39" ht="14.25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287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</row>
    <row r="767" spans="1:39" ht="14.25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287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</row>
    <row r="768" spans="1:39" ht="14.25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287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</row>
    <row r="769" spans="1:39" ht="14.25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287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</row>
    <row r="770" spans="1:39" ht="14.25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287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</row>
    <row r="771" spans="1:39" ht="14.25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287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</row>
    <row r="772" spans="1:39" ht="14.25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287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</row>
    <row r="773" spans="1:39" ht="14.25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287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</row>
    <row r="774" spans="1:39" ht="14.25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287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</row>
    <row r="775" spans="1:39" ht="14.25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287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</row>
    <row r="776" spans="1:39" ht="14.25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287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</row>
    <row r="777" spans="1:39" ht="14.25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287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</row>
    <row r="778" spans="1:39" ht="14.25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287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</row>
    <row r="779" spans="1:39" ht="14.25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287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</row>
    <row r="780" spans="1:39" ht="14.25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287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</row>
    <row r="781" spans="1:39" ht="14.25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287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</row>
    <row r="782" spans="1:39" ht="14.25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287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</row>
    <row r="783" spans="1:39" ht="14.25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287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</row>
    <row r="784" spans="1:39" ht="14.25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287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</row>
    <row r="785" spans="1:39" ht="14.25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287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</row>
    <row r="786" spans="1:39" ht="14.25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287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</row>
    <row r="787" spans="1:39" ht="14.25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287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</row>
    <row r="788" spans="1:39" ht="14.25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287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</row>
    <row r="789" spans="1:39" ht="14.2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287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</row>
    <row r="790" spans="1:39" ht="14.25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287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</row>
    <row r="791" spans="1:39" ht="14.25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287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</row>
    <row r="792" spans="1:39" ht="14.25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287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</row>
    <row r="793" spans="1:39" ht="14.25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287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</row>
    <row r="794" spans="1:39" ht="14.25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287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</row>
    <row r="795" spans="1:39" ht="14.25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287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</row>
    <row r="796" spans="1:39" ht="14.25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287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</row>
    <row r="797" spans="1:39" ht="14.25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287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</row>
    <row r="798" spans="1:39" ht="14.25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287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</row>
    <row r="799" spans="1:39" ht="14.25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287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</row>
    <row r="800" spans="1:39" ht="14.25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287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</row>
    <row r="801" spans="1:39" ht="14.25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287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</row>
    <row r="802" spans="1:39" ht="14.2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287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</row>
    <row r="803" spans="1:39" ht="14.25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287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</row>
    <row r="804" spans="1:39" ht="14.25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287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</row>
    <row r="805" spans="1:39" ht="14.25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287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</row>
    <row r="806" spans="1:39" ht="14.25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287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</row>
    <row r="807" spans="1:39" ht="14.25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287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</row>
    <row r="808" spans="1:39" ht="14.25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287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</row>
    <row r="809" spans="1:39" ht="14.25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287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</row>
    <row r="810" spans="1:39" ht="14.25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287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</row>
    <row r="811" spans="1:39" ht="14.25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287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</row>
    <row r="812" spans="1:39" ht="14.25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287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</row>
    <row r="813" spans="1:39" ht="14.25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287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</row>
    <row r="814" spans="1:39" ht="14.25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287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</row>
    <row r="815" spans="1:39" ht="14.25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287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</row>
    <row r="816" spans="1:39" ht="14.25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287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</row>
    <row r="817" spans="1:39" ht="14.25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287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</row>
    <row r="818" spans="1:39" ht="14.25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287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</row>
    <row r="819" spans="1:39" ht="14.25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287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</row>
    <row r="820" spans="1:39" ht="14.25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287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</row>
    <row r="821" spans="1:39" ht="14.25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287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</row>
    <row r="822" spans="1:39" ht="14.25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287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</row>
    <row r="823" spans="1:39" ht="14.25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287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</row>
    <row r="824" spans="1:39" ht="14.25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287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</row>
    <row r="825" spans="1:39" ht="14.25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287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</row>
    <row r="826" spans="1:39" ht="14.2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287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</row>
    <row r="827" spans="1:39" ht="14.25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287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</row>
    <row r="828" spans="1:39" ht="14.25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287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</row>
    <row r="829" spans="1:39" ht="14.25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287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</row>
    <row r="830" spans="1:39" ht="14.25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287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</row>
    <row r="831" spans="1:39" ht="14.25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287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</row>
    <row r="832" spans="1:39" ht="14.25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287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</row>
    <row r="833" spans="1:39" ht="14.25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287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</row>
    <row r="834" spans="1:39" ht="14.25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287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</row>
    <row r="835" spans="1:39" ht="14.25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287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</row>
    <row r="836" spans="1:39" ht="14.25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287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</row>
    <row r="837" spans="1:39" ht="14.25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287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</row>
    <row r="838" spans="1:39" ht="14.25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287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</row>
    <row r="839" spans="1:39" ht="14.2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287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</row>
    <row r="840" spans="1:39" ht="14.25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287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</row>
    <row r="841" spans="1:39" ht="14.25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287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</row>
    <row r="842" spans="1:39" ht="14.25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287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</row>
    <row r="843" spans="1:39" ht="14.25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287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</row>
    <row r="844" spans="1:39" ht="14.25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287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</row>
    <row r="845" spans="1:39" ht="14.25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287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</row>
    <row r="846" spans="1:39" ht="14.25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287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</row>
    <row r="847" spans="1:39" ht="14.25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287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</row>
    <row r="848" spans="1:39" ht="14.25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287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</row>
    <row r="849" spans="1:39" ht="14.25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287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</row>
    <row r="850" spans="1:39" ht="14.25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287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</row>
    <row r="851" spans="1:39" ht="14.25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287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</row>
    <row r="852" spans="1:39" ht="14.25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287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</row>
    <row r="853" spans="1:39" ht="14.25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287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</row>
    <row r="854" spans="1:39" ht="14.25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287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</row>
    <row r="855" spans="1:39" ht="14.25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287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</row>
    <row r="856" spans="1:39" ht="14.25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287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</row>
    <row r="857" spans="1:39" ht="14.25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287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</row>
    <row r="858" spans="1:39" ht="14.25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287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</row>
    <row r="859" spans="1:39" ht="14.25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287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</row>
    <row r="860" spans="1:39" ht="14.25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287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</row>
    <row r="861" spans="1:39" ht="14.25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287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</row>
    <row r="862" spans="1:39" ht="14.25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287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</row>
    <row r="863" spans="1:39" ht="14.2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287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</row>
    <row r="864" spans="1:39" ht="14.25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287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</row>
    <row r="865" spans="1:39" ht="14.25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287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</row>
    <row r="866" spans="1:39" ht="14.25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287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</row>
    <row r="867" spans="1:39" ht="14.25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287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</row>
    <row r="868" spans="1:39" ht="14.25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287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</row>
    <row r="869" spans="1:39" ht="14.25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287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</row>
    <row r="870" spans="1:39" ht="14.25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287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</row>
    <row r="871" spans="1:39" ht="14.25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287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</row>
    <row r="872" spans="1:39" ht="14.25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287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</row>
    <row r="873" spans="1:39" ht="14.25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287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</row>
    <row r="874" spans="1:39" ht="14.25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287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</row>
    <row r="875" spans="1:39" ht="14.25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287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</row>
    <row r="876" spans="1:39" ht="14.2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287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</row>
    <row r="877" spans="1:39" ht="14.25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287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</row>
    <row r="878" spans="1:39" ht="14.25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287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</row>
    <row r="879" spans="1:39" ht="14.25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287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</row>
    <row r="880" spans="1:39" ht="14.25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287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</row>
    <row r="881" spans="1:39" ht="14.25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287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</row>
    <row r="882" spans="1:39" ht="14.25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287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</row>
    <row r="883" spans="1:39" ht="14.25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287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</row>
    <row r="884" spans="1:39" ht="14.25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287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</row>
    <row r="885" spans="1:39" ht="14.25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287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</row>
    <row r="886" spans="1:39" ht="14.25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287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</row>
    <row r="887" spans="1:39" ht="14.25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287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</row>
    <row r="888" spans="1:39" ht="14.25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287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</row>
    <row r="889" spans="1:39" ht="14.25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287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</row>
    <row r="890" spans="1:39" ht="14.25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287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</row>
    <row r="891" spans="1:39" ht="14.25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287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</row>
    <row r="892" spans="1:39" ht="14.25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287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</row>
    <row r="893" spans="1:39" ht="14.25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287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</row>
    <row r="894" spans="1:39" ht="14.25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287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</row>
    <row r="895" spans="1:39" ht="14.25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287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</row>
    <row r="896" spans="1:39" ht="14.25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287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</row>
    <row r="897" spans="1:39" ht="14.25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287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</row>
    <row r="898" spans="1:39" ht="14.25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287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</row>
    <row r="899" spans="1:39" ht="14.25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287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</row>
    <row r="900" spans="1:39" ht="14.2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287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</row>
    <row r="901" spans="1:39" ht="14.25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287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</row>
    <row r="902" spans="1:39" ht="14.25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287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</row>
    <row r="903" spans="1:39" ht="14.25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287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</row>
    <row r="904" spans="1:39" ht="14.25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287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</row>
    <row r="905" spans="1:39" ht="14.25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287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</row>
    <row r="906" spans="1:39" ht="14.25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287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</row>
    <row r="907" spans="1:39" ht="14.25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287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</row>
    <row r="908" spans="1:39" ht="14.25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287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</row>
    <row r="909" spans="1:39" ht="14.25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287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</row>
    <row r="910" spans="1:39" ht="14.25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287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</row>
    <row r="911" spans="1:39" ht="14.25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287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</row>
    <row r="912" spans="1:39" ht="14.25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287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</row>
    <row r="913" spans="1:39" ht="14.2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287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</row>
    <row r="914" spans="1:39" ht="14.25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287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</row>
    <row r="915" spans="1:39" ht="14.25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287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</row>
    <row r="916" spans="1:39" ht="14.25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287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</row>
    <row r="917" spans="1:39" ht="14.25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287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</row>
    <row r="918" spans="1:39" ht="14.25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287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</row>
    <row r="919" spans="1:39" ht="14.25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287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</row>
    <row r="920" spans="1:39" ht="14.25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287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</row>
    <row r="921" spans="1:39" ht="14.25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287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</row>
    <row r="922" spans="1:39" ht="14.25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287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</row>
    <row r="923" spans="1:39" ht="14.25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287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</row>
    <row r="924" spans="1:39" ht="14.25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287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</row>
    <row r="925" spans="1:39" ht="14.25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287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</row>
    <row r="926" spans="1:39" ht="14.25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287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</row>
    <row r="927" spans="1:39" ht="14.25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287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</row>
    <row r="928" spans="1:39" ht="14.25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287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</row>
    <row r="929" spans="1:39" ht="14.25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287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</row>
    <row r="930" spans="1:39" ht="14.25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287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</row>
    <row r="931" spans="1:39" ht="14.25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287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</row>
    <row r="932" spans="1:39" ht="14.25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287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</row>
    <row r="933" spans="1:39" ht="14.25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287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</row>
    <row r="934" spans="1:39" ht="14.25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287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</row>
    <row r="935" spans="1:39" ht="14.25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287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</row>
    <row r="936" spans="1:39" ht="14.25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287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</row>
    <row r="937" spans="1:39" ht="14.2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287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</row>
    <row r="938" spans="1:39" ht="14.25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287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</row>
    <row r="939" spans="1:39" ht="14.25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287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</row>
    <row r="940" spans="1:39" ht="14.25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287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</row>
    <row r="941" spans="1:39" ht="14.25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287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</row>
    <row r="942" spans="1:39" ht="14.25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287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</row>
    <row r="943" spans="1:39" ht="14.25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287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</row>
    <row r="944" spans="1:39" ht="14.25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287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</row>
    <row r="945" spans="1:39" ht="14.25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287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</row>
    <row r="946" spans="1:39" ht="14.25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287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</row>
    <row r="947" spans="1:39" ht="14.25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287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</row>
    <row r="948" spans="1:39" ht="14.25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287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</row>
    <row r="949" spans="1:39" ht="14.25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287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</row>
    <row r="950" spans="1:39" ht="14.2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287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</row>
    <row r="951" spans="1:39" ht="14.25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287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</row>
    <row r="952" spans="1:39" ht="14.25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287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</row>
    <row r="953" spans="1:39" ht="14.25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287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</row>
    <row r="954" spans="1:39" ht="14.25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287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</row>
    <row r="955" spans="1:39" ht="14.25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287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</row>
    <row r="956" spans="1:39" ht="14.25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287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</row>
    <row r="957" spans="1:39" ht="14.25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287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</row>
    <row r="958" spans="1:39" ht="14.25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287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</row>
    <row r="959" spans="1:39" ht="14.25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287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</row>
    <row r="960" spans="1:39" ht="14.25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287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</row>
    <row r="961" spans="1:39" ht="14.25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287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</row>
    <row r="962" spans="1:39" ht="14.25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287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</row>
    <row r="963" spans="1:39" ht="14.25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287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</row>
    <row r="964" spans="1:39" ht="14.25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287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</row>
    <row r="965" spans="1:39" ht="14.25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287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</row>
    <row r="966" spans="1:39" ht="14.25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287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</row>
    <row r="967" spans="1:39" ht="14.25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287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</row>
    <row r="968" spans="1:39" ht="14.25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287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</row>
    <row r="969" spans="1:39" ht="14.25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287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</row>
    <row r="970" spans="1:39" ht="14.25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287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</row>
    <row r="971" spans="1:39" ht="14.25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287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</row>
    <row r="972" spans="1:39" ht="14.25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287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</row>
    <row r="973" spans="1:39" ht="14.25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287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</row>
    <row r="974" spans="1:39" ht="14.2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287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</row>
    <row r="975" spans="1:39" ht="14.25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287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</row>
    <row r="976" spans="1:39" ht="14.25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287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</row>
    <row r="977" spans="1:39" ht="14.25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287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</row>
    <row r="978" spans="1:39" ht="14.25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287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</row>
    <row r="979" spans="1:39" ht="14.25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287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</row>
    <row r="980" spans="1:39" ht="14.25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287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</row>
    <row r="981" spans="1:39" ht="14.25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287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</row>
    <row r="982" spans="1:39" ht="14.25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287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</row>
    <row r="983" spans="1:39" ht="14.25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287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</row>
    <row r="984" spans="1:39" ht="14.25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287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</row>
    <row r="985" spans="1:39" ht="14.25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287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</row>
    <row r="986" spans="1:39" ht="14.25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287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</row>
  </sheetData>
  <sheetProtection sheet="1" objects="1" scenarios="1" selectLockedCells="1" selectUnlockedCells="1"/>
  <mergeCells count="96">
    <mergeCell ref="T76:X76"/>
    <mergeCell ref="Z76:Z77"/>
    <mergeCell ref="A8:B10"/>
    <mergeCell ref="C1:G2"/>
    <mergeCell ref="C8:M10"/>
    <mergeCell ref="A72:B72"/>
    <mergeCell ref="C72:E72"/>
    <mergeCell ref="A73:B73"/>
    <mergeCell ref="C73:E73"/>
    <mergeCell ref="A74:G74"/>
    <mergeCell ref="I76:M76"/>
    <mergeCell ref="A66:G66"/>
    <mergeCell ref="Z68:Z69"/>
    <mergeCell ref="C69:E69"/>
    <mergeCell ref="A70:B70"/>
    <mergeCell ref="C70:E70"/>
    <mergeCell ref="A71:B71"/>
    <mergeCell ref="C71:E71"/>
    <mergeCell ref="A63:B63"/>
    <mergeCell ref="C63:E63"/>
    <mergeCell ref="A64:B64"/>
    <mergeCell ref="C64:E64"/>
    <mergeCell ref="A65:B65"/>
    <mergeCell ref="C65:E65"/>
    <mergeCell ref="Z59:Z60"/>
    <mergeCell ref="C60:E60"/>
    <mergeCell ref="A61:B61"/>
    <mergeCell ref="C61:E61"/>
    <mergeCell ref="A62:B62"/>
    <mergeCell ref="C62:E62"/>
    <mergeCell ref="C53:E53"/>
    <mergeCell ref="C54:E54"/>
    <mergeCell ref="C55:E55"/>
    <mergeCell ref="C56:E56"/>
    <mergeCell ref="A57:G57"/>
    <mergeCell ref="G59:M59"/>
    <mergeCell ref="G47:M47"/>
    <mergeCell ref="R47:X47"/>
    <mergeCell ref="Z47:Z48"/>
    <mergeCell ref="C48:E48"/>
    <mergeCell ref="C49:E49"/>
    <mergeCell ref="C52:E52"/>
    <mergeCell ref="C40:E40"/>
    <mergeCell ref="C41:E41"/>
    <mergeCell ref="C42:E42"/>
    <mergeCell ref="C43:E43"/>
    <mergeCell ref="C44:E44"/>
    <mergeCell ref="A45:G45"/>
    <mergeCell ref="R35:X35"/>
    <mergeCell ref="Z35:Z36"/>
    <mergeCell ref="C36:E36"/>
    <mergeCell ref="C37:E37"/>
    <mergeCell ref="C38:E38"/>
    <mergeCell ref="C39:E39"/>
    <mergeCell ref="C30:E30"/>
    <mergeCell ref="C31:E31"/>
    <mergeCell ref="C32:E32"/>
    <mergeCell ref="A33:G33"/>
    <mergeCell ref="B35:B36"/>
    <mergeCell ref="G35:M35"/>
    <mergeCell ref="C24:E24"/>
    <mergeCell ref="C25:E25"/>
    <mergeCell ref="C26:E26"/>
    <mergeCell ref="C27:E27"/>
    <mergeCell ref="C28:E28"/>
    <mergeCell ref="C29:E29"/>
    <mergeCell ref="A20:G20"/>
    <mergeCell ref="B22:B23"/>
    <mergeCell ref="G22:M22"/>
    <mergeCell ref="R22:X22"/>
    <mergeCell ref="Z22:Z23"/>
    <mergeCell ref="C23:E23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G11:M11"/>
    <mergeCell ref="O11:X11"/>
    <mergeCell ref="Z11:Z12"/>
    <mergeCell ref="C12:D12"/>
    <mergeCell ref="A13:B13"/>
    <mergeCell ref="C13:D13"/>
    <mergeCell ref="P3:T3"/>
    <mergeCell ref="P4:T4"/>
    <mergeCell ref="A5:B7"/>
    <mergeCell ref="P5:T5"/>
    <mergeCell ref="P7:R7"/>
    <mergeCell ref="P8:R8"/>
  </mergeCells>
  <conditionalFormatting sqref="A32:E32">
    <cfRule type="expression" dxfId="13" priority="14">
      <formula>$C$32=0</formula>
    </cfRule>
  </conditionalFormatting>
  <conditionalFormatting sqref="B22:B23">
    <cfRule type="expression" dxfId="12" priority="10">
      <formula>COUNTA(A24:A31)&gt;8-COUNTBLANK(B24:B31)</formula>
    </cfRule>
  </conditionalFormatting>
  <conditionalFormatting sqref="B24:B31">
    <cfRule type="expression" dxfId="11" priority="11">
      <formula>AND(A24&lt;&gt;"",B24="")</formula>
    </cfRule>
  </conditionalFormatting>
  <conditionalFormatting sqref="B37:B44">
    <cfRule type="expression" dxfId="10" priority="9">
      <formula>AND(A37&lt;&gt;"",B37="")</formula>
    </cfRule>
  </conditionalFormatting>
  <conditionalFormatting sqref="E81:K81">
    <cfRule type="expression" dxfId="9" priority="5">
      <formula>$K$80&gt;0</formula>
    </cfRule>
  </conditionalFormatting>
  <conditionalFormatting sqref="K80">
    <cfRule type="cellIs" dxfId="8" priority="4" operator="greaterThan">
      <formula>0</formula>
    </cfRule>
  </conditionalFormatting>
  <conditionalFormatting sqref="O7:O8">
    <cfRule type="expression" dxfId="7" priority="2">
      <formula>$P$3="Résidence et prix"</formula>
    </cfRule>
  </conditionalFormatting>
  <conditionalFormatting sqref="P7:R8">
    <cfRule type="expression" dxfId="5" priority="3">
      <formula>$P$3="Résidence et prix"</formula>
    </cfRule>
  </conditionalFormatting>
  <conditionalFormatting sqref="P3:T3">
    <cfRule type="containsBlanks" dxfId="4" priority="12">
      <formula>LEN(TRIM(P3))=0</formula>
    </cfRule>
    <cfRule type="cellIs" dxfId="3" priority="13" operator="equal">
      <formula>"Choose the program from the list"</formula>
    </cfRule>
  </conditionalFormatting>
  <conditionalFormatting sqref="B35:B36">
    <cfRule type="expression" dxfId="0" priority="1">
      <formula>COUNTA(A37:A44)&gt;8-COUNTBLANK(B37:B44)</formula>
    </cfRule>
  </conditionalFormatting>
  <dataValidations count="10">
    <dataValidation type="list" showInputMessage="1" showErrorMessage="1" promptTitle="TECHNICIEN·NE" prompt="- Les honoraires ne sont pas couverts par les programmes d'aide et se calculent séparément._x000a__x000a_- Les rabais des programmes d'aide sur les locations de salles, studios et équipement NE s'appliquent PAS si vous travaillez avec un·e technicin·ne externe." sqref="B37:B44" xr:uid="{E2DF8D6F-4B4B-468C-98A0-9C4554AE0A47}">
      <formula1>Techs_son</formula1>
    </dataValidation>
    <dataValidation type="list" allowBlank="1" showInputMessage="1" showErrorMessage="1" sqref="T6" xr:uid="{C231AF83-E3F6-4C83-9C4A-1362F8148DF6}">
      <formula1>"Documentaire, Fiction, Expérimental, Autre"</formula1>
    </dataValidation>
    <dataValidation type="list" showInputMessage="1" showErrorMessage="1" promptTitle="TECHNICIEN·NE" prompt="- Les honoraires ne sont pas couverts par les programmes d'aide et se calculent séparément._x000a__x000a_- Les rabais des programmes d'aide sur les locations de salles, studios et équipement NE s'appliquent PAS si vous travaillez avec un·e technicin·ne externe." sqref="B24:B31" xr:uid="{9D4131A2-EDDA-49B8-B63F-C89CFED97A09}">
      <formula1>Techs_image</formula1>
    </dataValidation>
    <dataValidation type="list" allowBlank="1" showInputMessage="1" showErrorMessage="1" promptTitle="Équipements de tournage" prompt="Choisissez l'équipement souhaité dans la liste déroulante et indiquez ensuite dans les colonnes suivante la durée de la location" sqref="A13:A19" xr:uid="{8C09CF9E-3EFB-4DD8-9356-DE3CE84E9CEB}">
      <formula1>EQUIP_TOURNAGE</formula1>
    </dataValidation>
    <dataValidation type="list" allowBlank="1" showInputMessage="1" showErrorMessage="1" prompt="Supports numériques - Choisissez dans la liste déroulante les supports nécessaires. Les supports ne sont pas couverts par les programmes d'aide et sont toujours à la charge de l'artiste" sqref="A61:A65" xr:uid="{C66E77E6-E3FD-479B-B05C-3F260A66065F}">
      <formula1>Supports</formula1>
    </dataValidation>
    <dataValidation type="list" allowBlank="1" showInputMessage="1" showErrorMessage="1" promptTitle="Postproduction sonore" prompt="Choisissez le studio souhaité dans la liste déroulante et indiquez ensuite dans les colonnes suivantes la durée de la location" sqref="A37:A44" xr:uid="{FE127998-AB05-4D69-B010-3B92510D1D16}">
      <formula1>EQUIP_PPS</formula1>
    </dataValidation>
    <dataValidation type="decimal" allowBlank="1" showInputMessage="1" showErrorMessage="1" prompt="Durée en minutes - Indiquez la durée de l'oeuvre en minutes (ex : pour 1h35, indiquez 95)" sqref="P6" xr:uid="{0370BED4-03B3-4FAE-AFCF-6F9326531D2E}">
      <formula1>0</formula1>
      <formula2>999</formula2>
    </dataValidation>
    <dataValidation type="list" allowBlank="1" showInputMessage="1" showErrorMessage="1" promptTitle="Postproduction image" prompt="Choisissez la salle souhaitée dans la liste déroulante et indiquez ensuite dans les colonnes suivantes votre choix de technicien·ne ainsi que la durée de la location." sqref="A24:A31" xr:uid="{5DF2104E-1B3E-4C92-BFDB-EB09F0E3AD2B}">
      <formula1>EQUIP_PPI</formula1>
    </dataValidation>
    <dataValidation type="list" allowBlank="1" showInputMessage="1" showErrorMessage="1" promptTitle="Durée de location" prompt="Choisissez dans la liste déroulante si vous souhaitez louer l'équipement au tarif journée, fin de semaine, semaine, au mois." sqref="E13:E19" xr:uid="{493A251E-3B7D-40DB-8DD8-D873AC31A2EB}">
      <formula1>UNIT_Tournage</formula1>
    </dataValidation>
    <dataValidation type="list" allowBlank="1" showErrorMessage="1" sqref="P3" xr:uid="{B8A4DF28-AE79-43D0-AD14-2431B406E36F}">
      <formula1>PROGRAMME</formula1>
    </dataValidation>
  </dataValidations>
  <pageMargins left="0.47244094488188976" right="0.39370078740157483" top="0.43307086614173229" bottom="0.98425196850393704" header="0" footer="0"/>
  <pageSetup fitToHeight="0" orientation="portrait" r:id="rId1"/>
  <headerFooter>
    <oddFooter>&amp;LProductions Réalisations Indépendantes de Montréal (P.R.I.M.) 2180, rue Fulum, Montréal (Québec) H2K 3N9 &amp;RInfos et réservations : 514-524-2421  www.primcentre.org - info@primcentre.org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A359124F-2D8B-42FB-8C2C-0E85D3A91828}">
            <xm:f>AND(Tarifs!$D$96=5,P$6="")</xm:f>
            <x14:dxf>
              <fill>
                <patternFill>
                  <bgColor rgb="FFFFFF00"/>
                </patternFill>
              </fill>
            </x14:dxf>
          </x14:cfRule>
          <xm:sqref>P6 T6</xm:sqref>
        </x14:conditionalFormatting>
        <x14:conditionalFormatting xmlns:xm="http://schemas.microsoft.com/office/excel/2006/main">
          <x14:cfRule type="expression" priority="6" id="{3C46D348-F4C6-442D-A953-D23143E6ADF5}">
            <xm:f>Tarifs!D96=5</xm:f>
            <x14:dxf>
              <font>
                <color theme="1"/>
              </font>
            </x14:dxf>
          </x14:cfRule>
          <xm:sqref>S6</xm:sqref>
        </x14:conditionalFormatting>
        <x14:conditionalFormatting xmlns:xm="http://schemas.microsoft.com/office/excel/2006/main">
          <x14:cfRule type="expression" priority="7" id="{7586555D-6ABB-4D94-9902-9679E22E6266}">
            <xm:f>Tarifs!D96=5</xm:f>
            <x14:dxf>
              <font>
                <strike val="0"/>
                <color theme="1"/>
              </font>
              <border>
                <bottom style="thin">
                  <color auto="1"/>
                </bottom>
                <vertical/>
                <horizontal/>
              </border>
            </x14:dxf>
          </x14:cfRule>
          <xm:sqref>T6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4"/>
  <sheetViews>
    <sheetView topLeftCell="A21" workbookViewId="0">
      <selection activeCell="F31" sqref="F31"/>
    </sheetView>
  </sheetViews>
  <sheetFormatPr baseColWidth="10" defaultColWidth="14.42578125" defaultRowHeight="15" customHeight="1" x14ac:dyDescent="0.25"/>
  <cols>
    <col min="1" max="1" width="52.85546875" style="368" customWidth="1"/>
    <col min="2" max="2" width="9.7109375" style="368" customWidth="1"/>
    <col min="3" max="3" width="9.42578125" style="368" customWidth="1"/>
    <col min="4" max="4" width="23.140625" style="368" customWidth="1"/>
    <col min="5" max="10" width="9.85546875" style="368" customWidth="1"/>
    <col min="11" max="11" width="9.42578125" style="368" customWidth="1"/>
    <col min="12" max="14" width="8.42578125" style="368" customWidth="1"/>
    <col min="15" max="15" width="10.42578125" style="368" customWidth="1"/>
    <col min="16" max="26" width="10.7109375" style="368" customWidth="1"/>
    <col min="27" max="16384" width="14.42578125" style="368"/>
  </cols>
  <sheetData>
    <row r="1" spans="1:7" s="368" customFormat="1" x14ac:dyDescent="0.25">
      <c r="B1" s="369"/>
      <c r="C1" s="369"/>
      <c r="D1" s="369"/>
      <c r="E1" s="369"/>
    </row>
    <row r="2" spans="1:7" s="368" customFormat="1" x14ac:dyDescent="0.25">
      <c r="A2" s="370" t="s">
        <v>0</v>
      </c>
      <c r="B2" s="370"/>
      <c r="C2" s="369"/>
      <c r="D2" s="369"/>
      <c r="E2" s="369"/>
    </row>
    <row r="3" spans="1:7" s="368" customFormat="1" x14ac:dyDescent="0.25">
      <c r="A3" s="369" t="s">
        <v>55</v>
      </c>
      <c r="B3" s="371">
        <v>50</v>
      </c>
      <c r="C3" s="369"/>
      <c r="D3" s="372" t="s">
        <v>87</v>
      </c>
      <c r="E3" s="372" t="s">
        <v>88</v>
      </c>
      <c r="F3" s="370" t="s">
        <v>136</v>
      </c>
    </row>
    <row r="4" spans="1:7" s="368" customFormat="1" x14ac:dyDescent="0.25">
      <c r="A4" s="373" t="s">
        <v>56</v>
      </c>
      <c r="B4" s="371">
        <v>30</v>
      </c>
      <c r="C4" s="369"/>
      <c r="D4" s="372" t="s">
        <v>87</v>
      </c>
      <c r="E4" s="372" t="s">
        <v>88</v>
      </c>
    </row>
    <row r="5" spans="1:7" s="368" customFormat="1" x14ac:dyDescent="0.25">
      <c r="A5" s="373" t="s">
        <v>57</v>
      </c>
      <c r="B5" s="371">
        <v>80</v>
      </c>
      <c r="C5" s="369" t="s">
        <v>1</v>
      </c>
      <c r="D5" s="372" t="s">
        <v>87</v>
      </c>
      <c r="E5" s="372" t="s">
        <v>88</v>
      </c>
      <c r="F5" s="370" t="s">
        <v>85</v>
      </c>
    </row>
    <row r="6" spans="1:7" s="368" customFormat="1" x14ac:dyDescent="0.25">
      <c r="A6" s="373" t="s">
        <v>58</v>
      </c>
      <c r="B6" s="371">
        <v>150</v>
      </c>
      <c r="C6" s="369" t="s">
        <v>1</v>
      </c>
      <c r="D6" s="372" t="s">
        <v>87</v>
      </c>
      <c r="E6" s="372" t="s">
        <v>88</v>
      </c>
      <c r="F6" s="370" t="s">
        <v>83</v>
      </c>
      <c r="G6" s="370" t="s">
        <v>84</v>
      </c>
    </row>
    <row r="7" spans="1:7" s="368" customFormat="1" x14ac:dyDescent="0.25">
      <c r="A7" s="373" t="s">
        <v>59</v>
      </c>
      <c r="B7" s="371">
        <v>100</v>
      </c>
      <c r="C7" s="369" t="s">
        <v>1</v>
      </c>
      <c r="D7" s="372" t="s">
        <v>87</v>
      </c>
      <c r="E7" s="372" t="s">
        <v>88</v>
      </c>
      <c r="F7" s="370" t="s">
        <v>83</v>
      </c>
      <c r="G7" s="370" t="s">
        <v>84</v>
      </c>
    </row>
    <row r="8" spans="1:7" s="368" customFormat="1" x14ac:dyDescent="0.25">
      <c r="A8" s="373" t="s">
        <v>60</v>
      </c>
      <c r="B8" s="371">
        <v>50</v>
      </c>
      <c r="D8" s="372" t="s">
        <v>87</v>
      </c>
      <c r="E8" s="372" t="s">
        <v>88</v>
      </c>
    </row>
    <row r="9" spans="1:7" s="368" customFormat="1" x14ac:dyDescent="0.25">
      <c r="A9" s="373" t="s">
        <v>61</v>
      </c>
      <c r="B9" s="371">
        <v>150</v>
      </c>
      <c r="C9" s="369"/>
      <c r="D9" s="372" t="s">
        <v>87</v>
      </c>
      <c r="E9" s="372" t="s">
        <v>88</v>
      </c>
      <c r="F9" s="370" t="s">
        <v>83</v>
      </c>
      <c r="G9" s="370" t="s">
        <v>84</v>
      </c>
    </row>
    <row r="10" spans="1:7" s="368" customFormat="1" x14ac:dyDescent="0.25">
      <c r="A10" s="373" t="s">
        <v>62</v>
      </c>
      <c r="B10" s="371">
        <v>160</v>
      </c>
      <c r="D10" s="372" t="s">
        <v>87</v>
      </c>
      <c r="E10" s="372" t="s">
        <v>88</v>
      </c>
      <c r="F10" s="370" t="s">
        <v>83</v>
      </c>
      <c r="G10" s="370" t="s">
        <v>84</v>
      </c>
    </row>
    <row r="11" spans="1:7" s="368" customFormat="1" x14ac:dyDescent="0.25">
      <c r="A11" s="373" t="s">
        <v>63</v>
      </c>
      <c r="B11" s="371">
        <v>100</v>
      </c>
      <c r="D11" s="369"/>
      <c r="E11" s="369"/>
    </row>
    <row r="12" spans="1:7" s="368" customFormat="1" x14ac:dyDescent="0.25">
      <c r="A12" s="370" t="s">
        <v>64</v>
      </c>
      <c r="B12" s="370"/>
      <c r="D12" s="369"/>
      <c r="E12" s="369"/>
    </row>
    <row r="13" spans="1:7" s="368" customFormat="1" x14ac:dyDescent="0.25">
      <c r="A13" s="373" t="s">
        <v>65</v>
      </c>
      <c r="B13" s="371">
        <v>80</v>
      </c>
      <c r="C13" s="369" t="s">
        <v>1</v>
      </c>
      <c r="D13" s="372" t="s">
        <v>87</v>
      </c>
      <c r="E13" s="372" t="s">
        <v>88</v>
      </c>
      <c r="F13" s="370" t="s">
        <v>89</v>
      </c>
      <c r="G13" s="370" t="s">
        <v>90</v>
      </c>
    </row>
    <row r="14" spans="1:7" s="368" customFormat="1" x14ac:dyDescent="0.25">
      <c r="A14" s="373" t="s">
        <v>66</v>
      </c>
      <c r="B14" s="371">
        <v>80</v>
      </c>
      <c r="C14" s="369" t="s">
        <v>1</v>
      </c>
      <c r="D14" s="372" t="s">
        <v>87</v>
      </c>
      <c r="E14" s="372" t="s">
        <v>88</v>
      </c>
      <c r="F14" s="370" t="s">
        <v>89</v>
      </c>
      <c r="G14" s="370" t="s">
        <v>90</v>
      </c>
    </row>
    <row r="15" spans="1:7" s="368" customFormat="1" x14ac:dyDescent="0.25">
      <c r="A15" s="373" t="s">
        <v>67</v>
      </c>
      <c r="B15" s="371">
        <v>30</v>
      </c>
      <c r="C15" s="369"/>
      <c r="D15" s="372" t="s">
        <v>87</v>
      </c>
      <c r="E15" s="372" t="s">
        <v>88</v>
      </c>
    </row>
    <row r="16" spans="1:7" s="368" customFormat="1" x14ac:dyDescent="0.25">
      <c r="A16" s="373" t="s">
        <v>68</v>
      </c>
      <c r="B16" s="371">
        <v>160</v>
      </c>
      <c r="C16" s="369" t="s">
        <v>1</v>
      </c>
      <c r="D16" s="372" t="s">
        <v>87</v>
      </c>
      <c r="E16" s="372" t="s">
        <v>88</v>
      </c>
      <c r="F16" s="370" t="s">
        <v>89</v>
      </c>
      <c r="G16" s="370" t="s">
        <v>90</v>
      </c>
    </row>
    <row r="17" spans="1:7" s="368" customFormat="1" x14ac:dyDescent="0.25">
      <c r="A17" s="373" t="s">
        <v>69</v>
      </c>
      <c r="B17" s="371">
        <v>80</v>
      </c>
      <c r="C17" s="369" t="s">
        <v>1</v>
      </c>
      <c r="D17" s="372" t="s">
        <v>87</v>
      </c>
      <c r="E17" s="372" t="s">
        <v>88</v>
      </c>
      <c r="F17" s="370" t="s">
        <v>89</v>
      </c>
      <c r="G17" s="370" t="s">
        <v>90</v>
      </c>
    </row>
    <row r="18" spans="1:7" s="368" customFormat="1" x14ac:dyDescent="0.25">
      <c r="A18" s="373" t="s">
        <v>62</v>
      </c>
      <c r="B18" s="371">
        <v>160</v>
      </c>
      <c r="C18" s="369"/>
      <c r="D18" s="372" t="s">
        <v>87</v>
      </c>
      <c r="E18" s="372" t="s">
        <v>88</v>
      </c>
      <c r="F18" s="370" t="s">
        <v>89</v>
      </c>
      <c r="G18" s="370" t="s">
        <v>90</v>
      </c>
    </row>
    <row r="19" spans="1:7" s="368" customFormat="1" x14ac:dyDescent="0.25">
      <c r="A19" s="373" t="s">
        <v>70</v>
      </c>
      <c r="B19" s="371">
        <v>50</v>
      </c>
      <c r="C19" s="369" t="s">
        <v>1</v>
      </c>
      <c r="D19" s="372" t="s">
        <v>87</v>
      </c>
      <c r="E19" s="372" t="s">
        <v>88</v>
      </c>
      <c r="F19" s="370"/>
      <c r="G19" s="370" t="s">
        <v>2</v>
      </c>
    </row>
    <row r="20" spans="1:7" s="368" customFormat="1" x14ac:dyDescent="0.25">
      <c r="A20" s="370" t="s">
        <v>71</v>
      </c>
      <c r="B20" s="370"/>
      <c r="C20" s="369"/>
      <c r="D20" s="369"/>
      <c r="E20" s="369"/>
    </row>
    <row r="21" spans="1:7" s="368" customFormat="1" x14ac:dyDescent="0.25">
      <c r="A21" s="373" t="s">
        <v>158</v>
      </c>
      <c r="B21" s="371">
        <v>50</v>
      </c>
      <c r="C21" s="369"/>
      <c r="D21" s="369"/>
      <c r="E21" s="369"/>
    </row>
    <row r="22" spans="1:7" s="368" customFormat="1" ht="15.75" customHeight="1" x14ac:dyDescent="0.25">
      <c r="A22" s="370" t="s">
        <v>72</v>
      </c>
      <c r="B22" s="370"/>
      <c r="C22" s="369"/>
      <c r="D22" s="369"/>
      <c r="E22" s="369"/>
    </row>
    <row r="23" spans="1:7" s="368" customFormat="1" ht="15.75" customHeight="1" x14ac:dyDescent="0.25">
      <c r="A23" s="373" t="s">
        <v>73</v>
      </c>
      <c r="B23" s="371">
        <v>150</v>
      </c>
      <c r="C23" s="369"/>
      <c r="D23" s="369"/>
      <c r="E23" s="369"/>
      <c r="F23" s="374" t="s">
        <v>137</v>
      </c>
    </row>
    <row r="24" spans="1:7" s="368" customFormat="1" ht="15.75" customHeight="1" x14ac:dyDescent="0.25">
      <c r="A24" s="373" t="s">
        <v>74</v>
      </c>
      <c r="B24" s="371">
        <v>300</v>
      </c>
      <c r="C24" s="369"/>
      <c r="D24" s="369"/>
      <c r="E24" s="369"/>
      <c r="F24" s="369" t="s">
        <v>138</v>
      </c>
    </row>
    <row r="25" spans="1:7" s="368" customFormat="1" ht="15.75" customHeight="1" x14ac:dyDescent="0.25">
      <c r="A25" s="370" t="s">
        <v>4</v>
      </c>
      <c r="B25" s="370"/>
      <c r="C25" s="369"/>
      <c r="D25" s="369"/>
      <c r="E25" s="369"/>
    </row>
    <row r="26" spans="1:7" s="368" customFormat="1" ht="15.75" customHeight="1" x14ac:dyDescent="0.25">
      <c r="A26" s="375" t="s">
        <v>75</v>
      </c>
      <c r="B26" s="371">
        <v>20</v>
      </c>
      <c r="C26" s="369"/>
      <c r="D26" s="369"/>
      <c r="E26" s="369"/>
    </row>
    <row r="27" spans="1:7" s="368" customFormat="1" ht="15.75" customHeight="1" x14ac:dyDescent="0.25">
      <c r="A27" s="375" t="s">
        <v>76</v>
      </c>
      <c r="B27" s="371">
        <v>12</v>
      </c>
      <c r="C27" s="369"/>
      <c r="D27" s="369"/>
      <c r="E27" s="369"/>
    </row>
    <row r="28" spans="1:7" s="368" customFormat="1" ht="15.75" customHeight="1" x14ac:dyDescent="0.25">
      <c r="A28" s="375" t="s">
        <v>77</v>
      </c>
      <c r="B28" s="371">
        <v>300</v>
      </c>
      <c r="C28" s="369"/>
      <c r="D28" s="369"/>
      <c r="E28" s="369"/>
    </row>
    <row r="29" spans="1:7" s="368" customFormat="1" ht="15.75" customHeight="1" x14ac:dyDescent="0.25">
      <c r="A29" s="375" t="s">
        <v>78</v>
      </c>
      <c r="B29" s="371">
        <v>180</v>
      </c>
      <c r="C29" s="369"/>
      <c r="D29" s="369"/>
      <c r="E29" s="369"/>
    </row>
    <row r="30" spans="1:7" s="368" customFormat="1" ht="15.75" customHeight="1" x14ac:dyDescent="0.25">
      <c r="A30" s="375" t="s">
        <v>79</v>
      </c>
      <c r="B30" s="371">
        <v>50</v>
      </c>
      <c r="C30" s="369"/>
      <c r="D30" s="369"/>
      <c r="E30" s="369"/>
    </row>
    <row r="31" spans="1:7" s="368" customFormat="1" ht="15.75" customHeight="1" x14ac:dyDescent="0.25">
      <c r="A31" s="369" t="s">
        <v>80</v>
      </c>
      <c r="B31" s="369"/>
      <c r="C31" s="369"/>
      <c r="D31" s="369"/>
      <c r="E31" s="369"/>
    </row>
    <row r="32" spans="1:7" s="368" customFormat="1" ht="15.75" customHeight="1" x14ac:dyDescent="0.25">
      <c r="A32" s="373" t="s">
        <v>81</v>
      </c>
      <c r="B32" s="371">
        <v>20</v>
      </c>
      <c r="C32" s="369"/>
      <c r="D32" s="369"/>
      <c r="E32" s="369"/>
    </row>
    <row r="33" spans="1:9" s="368" customFormat="1" ht="15.75" customHeight="1" x14ac:dyDescent="0.25">
      <c r="A33" s="370"/>
      <c r="B33" s="371"/>
      <c r="C33" s="369"/>
      <c r="D33" s="369"/>
      <c r="E33" s="369"/>
      <c r="F33" s="370"/>
      <c r="G33" s="370"/>
      <c r="H33" s="370"/>
      <c r="I33" s="370"/>
    </row>
    <row r="34" spans="1:9" s="368" customFormat="1" ht="15.75" customHeight="1" x14ac:dyDescent="0.25">
      <c r="A34" s="370" t="s">
        <v>82</v>
      </c>
      <c r="B34" s="370" t="s">
        <v>5</v>
      </c>
      <c r="C34" s="370"/>
      <c r="D34" s="370"/>
      <c r="E34" s="370" t="s">
        <v>139</v>
      </c>
      <c r="F34" s="370"/>
      <c r="G34" s="370"/>
      <c r="H34" s="370"/>
      <c r="I34" s="370"/>
    </row>
    <row r="35" spans="1:9" s="368" customFormat="1" ht="15.75" customHeight="1" x14ac:dyDescent="0.25">
      <c r="A35" s="372" t="s">
        <v>87</v>
      </c>
      <c r="B35" s="371">
        <v>0</v>
      </c>
      <c r="C35" s="370"/>
      <c r="D35" s="370"/>
      <c r="E35" s="370"/>
      <c r="F35" s="370"/>
      <c r="G35" s="370"/>
      <c r="H35" s="370"/>
      <c r="I35" s="370"/>
    </row>
    <row r="36" spans="1:9" s="368" customFormat="1" ht="15.75" customHeight="1" x14ac:dyDescent="0.25">
      <c r="A36" s="372" t="s">
        <v>88</v>
      </c>
      <c r="B36" s="371">
        <v>0</v>
      </c>
      <c r="C36" s="370"/>
      <c r="D36" s="370"/>
      <c r="E36" s="370"/>
      <c r="F36" s="370"/>
      <c r="G36" s="370"/>
      <c r="H36" s="370"/>
      <c r="I36" s="370"/>
    </row>
    <row r="37" spans="1:9" s="368" customFormat="1" ht="15.75" customHeight="1" x14ac:dyDescent="0.25">
      <c r="A37" s="370" t="s">
        <v>83</v>
      </c>
      <c r="B37" s="371">
        <v>45</v>
      </c>
      <c r="C37" s="370"/>
      <c r="D37" s="370"/>
      <c r="E37" s="370" t="s">
        <v>140</v>
      </c>
      <c r="F37" s="370"/>
      <c r="G37" s="370"/>
      <c r="H37" s="370"/>
      <c r="I37" s="370"/>
    </row>
    <row r="38" spans="1:9" s="368" customFormat="1" ht="15.75" customHeight="1" x14ac:dyDescent="0.25">
      <c r="A38" s="370" t="s">
        <v>84</v>
      </c>
      <c r="B38" s="371">
        <v>65</v>
      </c>
      <c r="C38" s="370"/>
      <c r="D38" s="370"/>
      <c r="E38" s="370" t="s">
        <v>141</v>
      </c>
      <c r="F38" s="370"/>
      <c r="G38" s="370"/>
      <c r="H38" s="370"/>
      <c r="I38" s="370"/>
    </row>
    <row r="39" spans="1:9" s="368" customFormat="1" ht="15.75" customHeight="1" x14ac:dyDescent="0.25">
      <c r="A39" s="370" t="s">
        <v>85</v>
      </c>
      <c r="B39" s="371">
        <v>40</v>
      </c>
      <c r="C39" s="370"/>
      <c r="D39" s="370"/>
      <c r="E39" s="370" t="s">
        <v>142</v>
      </c>
      <c r="F39" s="370"/>
      <c r="G39" s="370"/>
      <c r="H39" s="370"/>
      <c r="I39" s="370"/>
    </row>
    <row r="40" spans="1:9" s="368" customFormat="1" ht="15.75" customHeight="1" x14ac:dyDescent="0.25">
      <c r="A40" s="370" t="s">
        <v>86</v>
      </c>
      <c r="B40" s="371">
        <v>30</v>
      </c>
      <c r="C40" s="370"/>
      <c r="D40" s="370"/>
      <c r="E40" s="370" t="s">
        <v>143</v>
      </c>
      <c r="F40" s="370"/>
      <c r="G40" s="370"/>
      <c r="H40" s="370"/>
      <c r="I40" s="370"/>
    </row>
    <row r="41" spans="1:9" s="368" customFormat="1" ht="15.75" customHeight="1" x14ac:dyDescent="0.25">
      <c r="A41" s="372" t="s">
        <v>87</v>
      </c>
      <c r="B41" s="371">
        <v>0</v>
      </c>
      <c r="C41" s="370"/>
      <c r="D41" s="370"/>
      <c r="E41" s="370"/>
      <c r="F41" s="370"/>
      <c r="G41" s="370"/>
      <c r="H41" s="370"/>
      <c r="I41" s="370"/>
    </row>
    <row r="42" spans="1:9" s="368" customFormat="1" ht="15.75" customHeight="1" x14ac:dyDescent="0.25">
      <c r="A42" s="372" t="s">
        <v>88</v>
      </c>
      <c r="B42" s="371">
        <v>0</v>
      </c>
      <c r="C42" s="370"/>
      <c r="D42" s="370"/>
      <c r="E42" s="370"/>
      <c r="F42" s="370"/>
      <c r="G42" s="370"/>
      <c r="H42" s="370"/>
      <c r="I42" s="370"/>
    </row>
    <row r="43" spans="1:9" s="368" customFormat="1" ht="15.75" customHeight="1" x14ac:dyDescent="0.25">
      <c r="A43" s="370" t="s">
        <v>89</v>
      </c>
      <c r="B43" s="371">
        <v>45</v>
      </c>
      <c r="C43" s="370"/>
      <c r="D43" s="370"/>
      <c r="F43" s="370"/>
      <c r="G43" s="370"/>
      <c r="H43" s="370"/>
      <c r="I43" s="370"/>
    </row>
    <row r="44" spans="1:9" s="368" customFormat="1" ht="15.75" customHeight="1" x14ac:dyDescent="0.25">
      <c r="A44" s="370" t="s">
        <v>90</v>
      </c>
      <c r="B44" s="371">
        <v>65</v>
      </c>
      <c r="C44" s="370"/>
      <c r="D44" s="370"/>
      <c r="F44" s="370"/>
      <c r="G44" s="370"/>
      <c r="H44" s="370"/>
      <c r="I44" s="370"/>
    </row>
    <row r="45" spans="1:9" s="368" customFormat="1" ht="15.75" customHeight="1" x14ac:dyDescent="0.25">
      <c r="A45" s="370" t="s">
        <v>171</v>
      </c>
      <c r="B45" s="371">
        <v>30</v>
      </c>
      <c r="C45" s="370"/>
      <c r="D45" s="370"/>
      <c r="E45" s="370"/>
      <c r="F45" s="370"/>
      <c r="G45" s="370"/>
      <c r="H45" s="370"/>
      <c r="I45" s="370"/>
    </row>
    <row r="46" spans="1:9" s="368" customFormat="1" ht="15.75" customHeight="1" x14ac:dyDescent="0.25">
      <c r="A46" s="370"/>
      <c r="B46" s="370"/>
      <c r="C46" s="370"/>
      <c r="D46" s="370"/>
      <c r="E46" s="370"/>
      <c r="F46" s="370"/>
      <c r="G46" s="370"/>
      <c r="H46" s="370"/>
      <c r="I46" s="370"/>
    </row>
    <row r="47" spans="1:9" s="368" customFormat="1" ht="15.75" customHeight="1" x14ac:dyDescent="0.25">
      <c r="A47" s="370" t="s">
        <v>6</v>
      </c>
      <c r="B47" s="370" t="s">
        <v>140</v>
      </c>
      <c r="C47" s="370" t="s">
        <v>141</v>
      </c>
      <c r="D47" s="370" t="s">
        <v>142</v>
      </c>
      <c r="E47" s="370" t="s">
        <v>143</v>
      </c>
      <c r="F47" s="370"/>
      <c r="G47" s="370"/>
      <c r="H47" s="370"/>
      <c r="I47" s="370"/>
    </row>
    <row r="48" spans="1:9" s="368" customFormat="1" x14ac:dyDescent="0.25">
      <c r="A48" s="376" t="s">
        <v>183</v>
      </c>
      <c r="B48" s="377">
        <v>400</v>
      </c>
      <c r="C48" s="377">
        <f t="shared" ref="C48:C83" si="0">ROUNDUP(B48*1.5,0)</f>
        <v>600</v>
      </c>
      <c r="D48" s="377">
        <f t="shared" ref="D48:D83" si="1">B48*4</f>
        <v>1600</v>
      </c>
      <c r="E48" s="377">
        <f t="shared" ref="E48:E83" si="2">B48*15</f>
        <v>6000</v>
      </c>
      <c r="F48" s="370"/>
      <c r="G48" s="370"/>
      <c r="H48" s="370"/>
      <c r="I48" s="370"/>
    </row>
    <row r="49" spans="1:9" s="368" customFormat="1" ht="38.25" customHeight="1" x14ac:dyDescent="0.25">
      <c r="A49" s="376" t="s">
        <v>184</v>
      </c>
      <c r="B49" s="377">
        <v>100</v>
      </c>
      <c r="C49" s="377">
        <f t="shared" si="0"/>
        <v>150</v>
      </c>
      <c r="D49" s="377">
        <f t="shared" si="1"/>
        <v>400</v>
      </c>
      <c r="E49" s="377">
        <f t="shared" si="2"/>
        <v>1500</v>
      </c>
      <c r="F49" s="370"/>
      <c r="G49" s="370"/>
      <c r="H49" s="370"/>
      <c r="I49" s="370"/>
    </row>
    <row r="50" spans="1:9" s="368" customFormat="1" x14ac:dyDescent="0.25">
      <c r="A50" s="376" t="s">
        <v>185</v>
      </c>
      <c r="B50" s="377">
        <v>200</v>
      </c>
      <c r="C50" s="377">
        <f t="shared" si="0"/>
        <v>300</v>
      </c>
      <c r="D50" s="377">
        <f t="shared" si="1"/>
        <v>800</v>
      </c>
      <c r="E50" s="377">
        <f t="shared" si="2"/>
        <v>3000</v>
      </c>
      <c r="F50" s="370"/>
      <c r="G50" s="370"/>
      <c r="H50" s="370"/>
      <c r="I50" s="370"/>
    </row>
    <row r="51" spans="1:9" s="368" customFormat="1" ht="25.5" customHeight="1" x14ac:dyDescent="0.25">
      <c r="A51" s="376" t="s">
        <v>186</v>
      </c>
      <c r="B51" s="377">
        <v>80</v>
      </c>
      <c r="C51" s="377">
        <f t="shared" si="0"/>
        <v>120</v>
      </c>
      <c r="D51" s="377">
        <f t="shared" si="1"/>
        <v>320</v>
      </c>
      <c r="E51" s="377">
        <f t="shared" si="2"/>
        <v>1200</v>
      </c>
      <c r="F51" s="370"/>
      <c r="G51" s="370"/>
      <c r="H51" s="370"/>
      <c r="I51" s="370"/>
    </row>
    <row r="52" spans="1:9" s="368" customFormat="1" x14ac:dyDescent="0.25">
      <c r="A52" s="376" t="s">
        <v>187</v>
      </c>
      <c r="B52" s="377">
        <v>360</v>
      </c>
      <c r="C52" s="377">
        <f t="shared" si="0"/>
        <v>540</v>
      </c>
      <c r="D52" s="377">
        <f t="shared" si="1"/>
        <v>1440</v>
      </c>
      <c r="E52" s="377">
        <f t="shared" si="2"/>
        <v>5400</v>
      </c>
      <c r="F52" s="370"/>
      <c r="G52" s="370"/>
      <c r="H52" s="370"/>
      <c r="I52" s="370"/>
    </row>
    <row r="53" spans="1:9" s="368" customFormat="1" x14ac:dyDescent="0.25">
      <c r="A53" s="376" t="s">
        <v>188</v>
      </c>
      <c r="B53" s="377">
        <v>180</v>
      </c>
      <c r="C53" s="377">
        <f t="shared" si="0"/>
        <v>270</v>
      </c>
      <c r="D53" s="377">
        <f t="shared" si="1"/>
        <v>720</v>
      </c>
      <c r="E53" s="377">
        <f t="shared" si="2"/>
        <v>2700</v>
      </c>
      <c r="F53" s="370"/>
      <c r="G53" s="370"/>
      <c r="H53" s="370"/>
      <c r="I53" s="370"/>
    </row>
    <row r="54" spans="1:9" s="368" customFormat="1" x14ac:dyDescent="0.25">
      <c r="A54" s="376" t="s">
        <v>189</v>
      </c>
      <c r="B54" s="377">
        <v>170</v>
      </c>
      <c r="C54" s="377">
        <f t="shared" si="0"/>
        <v>255</v>
      </c>
      <c r="D54" s="377">
        <f t="shared" si="1"/>
        <v>680</v>
      </c>
      <c r="E54" s="377">
        <f t="shared" si="2"/>
        <v>2550</v>
      </c>
      <c r="F54" s="370"/>
      <c r="G54" s="370"/>
      <c r="H54" s="370"/>
      <c r="I54" s="370"/>
    </row>
    <row r="55" spans="1:9" s="368" customFormat="1" ht="15.75" customHeight="1" x14ac:dyDescent="0.25">
      <c r="A55" s="378" t="s">
        <v>91</v>
      </c>
      <c r="B55" s="377">
        <v>300</v>
      </c>
      <c r="C55" s="377">
        <f t="shared" si="0"/>
        <v>450</v>
      </c>
      <c r="D55" s="377">
        <f t="shared" si="1"/>
        <v>1200</v>
      </c>
      <c r="E55" s="377">
        <f t="shared" si="2"/>
        <v>4500</v>
      </c>
      <c r="F55" s="370"/>
      <c r="G55" s="370"/>
      <c r="H55" s="370"/>
      <c r="I55" s="370"/>
    </row>
    <row r="56" spans="1:9" s="368" customFormat="1" ht="15.75" customHeight="1" x14ac:dyDescent="0.25">
      <c r="A56" s="378" t="s">
        <v>92</v>
      </c>
      <c r="B56" s="377">
        <v>60</v>
      </c>
      <c r="C56" s="377">
        <f t="shared" si="0"/>
        <v>90</v>
      </c>
      <c r="D56" s="377">
        <f t="shared" si="1"/>
        <v>240</v>
      </c>
      <c r="E56" s="377">
        <f t="shared" si="2"/>
        <v>900</v>
      </c>
      <c r="F56" s="370"/>
      <c r="G56" s="370"/>
      <c r="H56" s="370"/>
      <c r="I56" s="370"/>
    </row>
    <row r="57" spans="1:9" s="368" customFormat="1" ht="15.75" customHeight="1" x14ac:dyDescent="0.25">
      <c r="A57" s="378" t="s">
        <v>93</v>
      </c>
      <c r="B57" s="377">
        <v>20</v>
      </c>
      <c r="C57" s="377">
        <f t="shared" si="0"/>
        <v>30</v>
      </c>
      <c r="D57" s="377">
        <f t="shared" si="1"/>
        <v>80</v>
      </c>
      <c r="E57" s="377">
        <f t="shared" si="2"/>
        <v>300</v>
      </c>
      <c r="F57" s="370"/>
      <c r="G57" s="370"/>
      <c r="H57" s="370"/>
      <c r="I57" s="370"/>
    </row>
    <row r="58" spans="1:9" s="368" customFormat="1" ht="15.75" customHeight="1" x14ac:dyDescent="0.25">
      <c r="A58" s="378" t="s">
        <v>94</v>
      </c>
      <c r="B58" s="377">
        <v>20</v>
      </c>
      <c r="C58" s="377">
        <f t="shared" si="0"/>
        <v>30</v>
      </c>
      <c r="D58" s="377">
        <f t="shared" si="1"/>
        <v>80</v>
      </c>
      <c r="E58" s="377">
        <f t="shared" si="2"/>
        <v>300</v>
      </c>
      <c r="F58" s="370"/>
      <c r="G58" s="370"/>
      <c r="H58" s="370"/>
      <c r="I58" s="370"/>
    </row>
    <row r="59" spans="1:9" s="368" customFormat="1" ht="15.75" customHeight="1" x14ac:dyDescent="0.25">
      <c r="A59" s="378" t="s">
        <v>95</v>
      </c>
      <c r="B59" s="377">
        <v>48</v>
      </c>
      <c r="C59" s="377">
        <f t="shared" si="0"/>
        <v>72</v>
      </c>
      <c r="D59" s="377">
        <f t="shared" si="1"/>
        <v>192</v>
      </c>
      <c r="E59" s="377">
        <f t="shared" si="2"/>
        <v>720</v>
      </c>
      <c r="F59" s="370"/>
      <c r="G59" s="370"/>
      <c r="H59" s="370"/>
      <c r="I59" s="370"/>
    </row>
    <row r="60" spans="1:9" s="368" customFormat="1" ht="15.75" customHeight="1" x14ac:dyDescent="0.25">
      <c r="A60" s="378" t="s">
        <v>96</v>
      </c>
      <c r="B60" s="377">
        <v>48</v>
      </c>
      <c r="C60" s="377">
        <f t="shared" si="0"/>
        <v>72</v>
      </c>
      <c r="D60" s="377">
        <f t="shared" si="1"/>
        <v>192</v>
      </c>
      <c r="E60" s="377">
        <f t="shared" si="2"/>
        <v>720</v>
      </c>
      <c r="F60" s="370"/>
      <c r="G60" s="370"/>
      <c r="H60" s="370"/>
      <c r="I60" s="370"/>
    </row>
    <row r="61" spans="1:9" s="368" customFormat="1" ht="15.75" customHeight="1" x14ac:dyDescent="0.25">
      <c r="A61" s="378" t="s">
        <v>97</v>
      </c>
      <c r="B61" s="377">
        <v>48</v>
      </c>
      <c r="C61" s="377">
        <f t="shared" si="0"/>
        <v>72</v>
      </c>
      <c r="D61" s="377">
        <f t="shared" si="1"/>
        <v>192</v>
      </c>
      <c r="E61" s="377">
        <f t="shared" si="2"/>
        <v>720</v>
      </c>
      <c r="F61" s="370"/>
      <c r="G61" s="370"/>
      <c r="H61" s="370"/>
      <c r="I61" s="370"/>
    </row>
    <row r="62" spans="1:9" s="368" customFormat="1" ht="15.75" customHeight="1" x14ac:dyDescent="0.25">
      <c r="A62" s="378" t="s">
        <v>7</v>
      </c>
      <c r="B62" s="377">
        <v>48</v>
      </c>
      <c r="C62" s="377">
        <f t="shared" si="0"/>
        <v>72</v>
      </c>
      <c r="D62" s="377">
        <f t="shared" si="1"/>
        <v>192</v>
      </c>
      <c r="E62" s="377">
        <f t="shared" si="2"/>
        <v>720</v>
      </c>
      <c r="F62" s="370"/>
      <c r="G62" s="370"/>
      <c r="H62" s="370"/>
      <c r="I62" s="370"/>
    </row>
    <row r="63" spans="1:9" s="368" customFormat="1" x14ac:dyDescent="0.25">
      <c r="A63" s="378" t="s">
        <v>98</v>
      </c>
      <c r="B63" s="377">
        <v>100</v>
      </c>
      <c r="C63" s="377">
        <f t="shared" si="0"/>
        <v>150</v>
      </c>
      <c r="D63" s="377">
        <f t="shared" si="1"/>
        <v>400</v>
      </c>
      <c r="E63" s="377">
        <f t="shared" si="2"/>
        <v>1500</v>
      </c>
      <c r="F63" s="370"/>
      <c r="G63" s="370"/>
      <c r="H63" s="370"/>
      <c r="I63" s="370"/>
    </row>
    <row r="64" spans="1:9" s="368" customFormat="1" x14ac:dyDescent="0.25">
      <c r="A64" s="378" t="s">
        <v>99</v>
      </c>
      <c r="B64" s="377">
        <v>60</v>
      </c>
      <c r="C64" s="377">
        <f t="shared" si="0"/>
        <v>90</v>
      </c>
      <c r="D64" s="377">
        <f t="shared" si="1"/>
        <v>240</v>
      </c>
      <c r="E64" s="377">
        <f t="shared" si="2"/>
        <v>900</v>
      </c>
      <c r="F64" s="370"/>
      <c r="G64" s="370"/>
      <c r="H64" s="370"/>
      <c r="I64" s="370"/>
    </row>
    <row r="65" spans="1:9" s="368" customFormat="1" ht="15.75" customHeight="1" x14ac:dyDescent="0.25">
      <c r="A65" s="378" t="s">
        <v>100</v>
      </c>
      <c r="B65" s="377">
        <v>40</v>
      </c>
      <c r="C65" s="377">
        <f t="shared" si="0"/>
        <v>60</v>
      </c>
      <c r="D65" s="377">
        <f t="shared" si="1"/>
        <v>160</v>
      </c>
      <c r="E65" s="377">
        <f t="shared" si="2"/>
        <v>600</v>
      </c>
      <c r="F65" s="370"/>
      <c r="G65" s="370"/>
      <c r="H65" s="370"/>
      <c r="I65" s="370"/>
    </row>
    <row r="66" spans="1:9" s="368" customFormat="1" ht="15.75" customHeight="1" x14ac:dyDescent="0.25">
      <c r="A66" s="378" t="s">
        <v>101</v>
      </c>
      <c r="B66" s="377">
        <v>30</v>
      </c>
      <c r="C66" s="377">
        <f t="shared" si="0"/>
        <v>45</v>
      </c>
      <c r="D66" s="377">
        <f t="shared" si="1"/>
        <v>120</v>
      </c>
      <c r="E66" s="377">
        <f t="shared" si="2"/>
        <v>450</v>
      </c>
      <c r="F66" s="370"/>
      <c r="G66" s="370"/>
      <c r="H66" s="370"/>
      <c r="I66" s="370"/>
    </row>
    <row r="67" spans="1:9" s="368" customFormat="1" ht="15.75" customHeight="1" x14ac:dyDescent="0.25">
      <c r="A67" s="378" t="s">
        <v>102</v>
      </c>
      <c r="B67" s="377">
        <v>20</v>
      </c>
      <c r="C67" s="377">
        <f t="shared" si="0"/>
        <v>30</v>
      </c>
      <c r="D67" s="377">
        <f t="shared" si="1"/>
        <v>80</v>
      </c>
      <c r="E67" s="377">
        <f t="shared" si="2"/>
        <v>300</v>
      </c>
      <c r="F67" s="370"/>
      <c r="G67" s="370"/>
      <c r="H67" s="370"/>
      <c r="I67" s="370"/>
    </row>
    <row r="68" spans="1:9" s="368" customFormat="1" ht="15.75" customHeight="1" x14ac:dyDescent="0.25">
      <c r="A68" s="378" t="s">
        <v>103</v>
      </c>
      <c r="B68" s="377">
        <v>20</v>
      </c>
      <c r="C68" s="377">
        <f t="shared" si="0"/>
        <v>30</v>
      </c>
      <c r="D68" s="377">
        <f t="shared" si="1"/>
        <v>80</v>
      </c>
      <c r="E68" s="377">
        <f t="shared" si="2"/>
        <v>300</v>
      </c>
      <c r="F68" s="370"/>
      <c r="G68" s="370"/>
      <c r="H68" s="370"/>
      <c r="I68" s="370"/>
    </row>
    <row r="69" spans="1:9" s="368" customFormat="1" ht="15.75" customHeight="1" x14ac:dyDescent="0.25">
      <c r="A69" s="378" t="s">
        <v>104</v>
      </c>
      <c r="B69" s="377">
        <v>20</v>
      </c>
      <c r="C69" s="377">
        <f t="shared" si="0"/>
        <v>30</v>
      </c>
      <c r="D69" s="377">
        <f t="shared" si="1"/>
        <v>80</v>
      </c>
      <c r="E69" s="377">
        <f t="shared" si="2"/>
        <v>300</v>
      </c>
      <c r="F69" s="370"/>
      <c r="G69" s="370"/>
      <c r="H69" s="370"/>
      <c r="I69" s="370"/>
    </row>
    <row r="70" spans="1:9" s="368" customFormat="1" ht="15.75" customHeight="1" x14ac:dyDescent="0.25">
      <c r="A70" s="378" t="s">
        <v>105</v>
      </c>
      <c r="B70" s="377">
        <v>20</v>
      </c>
      <c r="C70" s="377">
        <f t="shared" si="0"/>
        <v>30</v>
      </c>
      <c r="D70" s="377">
        <f t="shared" si="1"/>
        <v>80</v>
      </c>
      <c r="E70" s="377">
        <f t="shared" si="2"/>
        <v>300</v>
      </c>
      <c r="F70" s="370"/>
      <c r="G70" s="370"/>
      <c r="H70" s="370"/>
      <c r="I70" s="370"/>
    </row>
    <row r="71" spans="1:9" s="368" customFormat="1" ht="15.75" customHeight="1" x14ac:dyDescent="0.25">
      <c r="A71" s="378" t="s">
        <v>106</v>
      </c>
      <c r="B71" s="377">
        <v>60</v>
      </c>
      <c r="C71" s="377">
        <f t="shared" si="0"/>
        <v>90</v>
      </c>
      <c r="D71" s="377">
        <f t="shared" si="1"/>
        <v>240</v>
      </c>
      <c r="E71" s="377">
        <f t="shared" si="2"/>
        <v>900</v>
      </c>
      <c r="F71" s="370"/>
      <c r="G71" s="370"/>
      <c r="H71" s="370"/>
      <c r="I71" s="370"/>
    </row>
    <row r="72" spans="1:9" s="368" customFormat="1" ht="15.75" customHeight="1" x14ac:dyDescent="0.25">
      <c r="A72" s="378" t="s">
        <v>107</v>
      </c>
      <c r="B72" s="377">
        <v>60</v>
      </c>
      <c r="C72" s="377">
        <f t="shared" si="0"/>
        <v>90</v>
      </c>
      <c r="D72" s="377">
        <f t="shared" si="1"/>
        <v>240</v>
      </c>
      <c r="E72" s="377">
        <f t="shared" si="2"/>
        <v>900</v>
      </c>
      <c r="F72" s="370"/>
      <c r="G72" s="370"/>
      <c r="H72" s="370"/>
      <c r="I72" s="370"/>
    </row>
    <row r="73" spans="1:9" s="368" customFormat="1" ht="15.75" customHeight="1" x14ac:dyDescent="0.25">
      <c r="A73" s="378" t="s">
        <v>108</v>
      </c>
      <c r="B73" s="377">
        <v>18</v>
      </c>
      <c r="C73" s="377">
        <f t="shared" si="0"/>
        <v>27</v>
      </c>
      <c r="D73" s="377">
        <f t="shared" si="1"/>
        <v>72</v>
      </c>
      <c r="E73" s="377">
        <f t="shared" si="2"/>
        <v>270</v>
      </c>
      <c r="F73" s="370"/>
      <c r="G73" s="370"/>
      <c r="H73" s="370"/>
      <c r="I73" s="370"/>
    </row>
    <row r="74" spans="1:9" s="368" customFormat="1" ht="15.75" customHeight="1" x14ac:dyDescent="0.25">
      <c r="A74" s="378" t="s">
        <v>109</v>
      </c>
      <c r="B74" s="377">
        <v>16</v>
      </c>
      <c r="C74" s="377">
        <f t="shared" si="0"/>
        <v>24</v>
      </c>
      <c r="D74" s="377">
        <f t="shared" si="1"/>
        <v>64</v>
      </c>
      <c r="E74" s="377">
        <f t="shared" si="2"/>
        <v>240</v>
      </c>
      <c r="F74" s="370"/>
      <c r="G74" s="370"/>
      <c r="H74" s="370"/>
      <c r="I74" s="370"/>
    </row>
    <row r="75" spans="1:9" s="368" customFormat="1" ht="15.75" customHeight="1" x14ac:dyDescent="0.25">
      <c r="A75" s="378" t="s">
        <v>110</v>
      </c>
      <c r="B75" s="377">
        <v>80</v>
      </c>
      <c r="C75" s="377">
        <f t="shared" si="0"/>
        <v>120</v>
      </c>
      <c r="D75" s="377">
        <f t="shared" si="1"/>
        <v>320</v>
      </c>
      <c r="E75" s="377">
        <f t="shared" si="2"/>
        <v>1200</v>
      </c>
      <c r="F75" s="370"/>
      <c r="G75" s="370"/>
      <c r="H75" s="370"/>
      <c r="I75" s="370"/>
    </row>
    <row r="76" spans="1:9" s="368" customFormat="1" ht="15.75" customHeight="1" x14ac:dyDescent="0.25">
      <c r="A76" s="378" t="s">
        <v>111</v>
      </c>
      <c r="B76" s="377">
        <v>60</v>
      </c>
      <c r="C76" s="377">
        <f t="shared" si="0"/>
        <v>90</v>
      </c>
      <c r="D76" s="377">
        <f t="shared" si="1"/>
        <v>240</v>
      </c>
      <c r="E76" s="377">
        <f t="shared" si="2"/>
        <v>900</v>
      </c>
      <c r="F76" s="370"/>
      <c r="G76" s="370"/>
      <c r="H76" s="370"/>
      <c r="I76" s="370"/>
    </row>
    <row r="77" spans="1:9" s="368" customFormat="1" ht="15.75" customHeight="1" x14ac:dyDescent="0.25">
      <c r="A77" s="378" t="s">
        <v>112</v>
      </c>
      <c r="B77" s="377">
        <v>140</v>
      </c>
      <c r="C77" s="377">
        <f t="shared" si="0"/>
        <v>210</v>
      </c>
      <c r="D77" s="377">
        <f t="shared" si="1"/>
        <v>560</v>
      </c>
      <c r="E77" s="377">
        <f t="shared" si="2"/>
        <v>2100</v>
      </c>
      <c r="F77" s="370"/>
      <c r="G77" s="370"/>
      <c r="H77" s="370"/>
      <c r="I77" s="370"/>
    </row>
    <row r="78" spans="1:9" s="368" customFormat="1" ht="15.75" customHeight="1" x14ac:dyDescent="0.25">
      <c r="A78" s="378" t="s">
        <v>113</v>
      </c>
      <c r="B78" s="377">
        <v>10</v>
      </c>
      <c r="C78" s="377">
        <f t="shared" si="0"/>
        <v>15</v>
      </c>
      <c r="D78" s="377">
        <f t="shared" si="1"/>
        <v>40</v>
      </c>
      <c r="E78" s="377">
        <f t="shared" si="2"/>
        <v>150</v>
      </c>
      <c r="F78" s="370"/>
      <c r="G78" s="370"/>
      <c r="H78" s="370"/>
      <c r="I78" s="370"/>
    </row>
    <row r="79" spans="1:9" s="368" customFormat="1" ht="15.75" customHeight="1" x14ac:dyDescent="0.25">
      <c r="A79" s="378" t="s">
        <v>114</v>
      </c>
      <c r="B79" s="377">
        <v>20</v>
      </c>
      <c r="C79" s="377">
        <f t="shared" si="0"/>
        <v>30</v>
      </c>
      <c r="D79" s="377">
        <f t="shared" si="1"/>
        <v>80</v>
      </c>
      <c r="E79" s="377">
        <f t="shared" si="2"/>
        <v>300</v>
      </c>
      <c r="F79" s="370"/>
      <c r="G79" s="370"/>
      <c r="H79" s="370"/>
      <c r="I79" s="370"/>
    </row>
    <row r="80" spans="1:9" s="368" customFormat="1" ht="15.75" customHeight="1" x14ac:dyDescent="0.25">
      <c r="A80" s="378" t="s">
        <v>115</v>
      </c>
      <c r="B80" s="377">
        <v>20</v>
      </c>
      <c r="C80" s="377">
        <f t="shared" si="0"/>
        <v>30</v>
      </c>
      <c r="D80" s="377">
        <f t="shared" si="1"/>
        <v>80</v>
      </c>
      <c r="E80" s="377">
        <f t="shared" si="2"/>
        <v>300</v>
      </c>
      <c r="F80" s="370"/>
      <c r="G80" s="370"/>
      <c r="H80" s="370"/>
      <c r="I80" s="370"/>
    </row>
    <row r="81" spans="1:9" s="368" customFormat="1" ht="15.75" customHeight="1" x14ac:dyDescent="0.25">
      <c r="A81" s="378" t="s">
        <v>116</v>
      </c>
      <c r="B81" s="377">
        <v>80</v>
      </c>
      <c r="C81" s="377">
        <f t="shared" si="0"/>
        <v>120</v>
      </c>
      <c r="D81" s="377">
        <f t="shared" si="1"/>
        <v>320</v>
      </c>
      <c r="E81" s="377">
        <f t="shared" si="2"/>
        <v>1200</v>
      </c>
      <c r="F81" s="370"/>
      <c r="G81" s="370"/>
      <c r="H81" s="370"/>
      <c r="I81" s="370"/>
    </row>
    <row r="82" spans="1:9" s="368" customFormat="1" ht="15.75" customHeight="1" x14ac:dyDescent="0.25">
      <c r="A82" s="378" t="s">
        <v>117</v>
      </c>
      <c r="B82" s="377">
        <v>20</v>
      </c>
      <c r="C82" s="377">
        <f t="shared" si="0"/>
        <v>30</v>
      </c>
      <c r="D82" s="377">
        <f t="shared" si="1"/>
        <v>80</v>
      </c>
      <c r="E82" s="377">
        <f t="shared" si="2"/>
        <v>300</v>
      </c>
      <c r="F82" s="370"/>
      <c r="G82" s="370"/>
      <c r="H82" s="370"/>
      <c r="I82" s="370"/>
    </row>
    <row r="83" spans="1:9" s="368" customFormat="1" ht="15.75" customHeight="1" x14ac:dyDescent="0.25">
      <c r="A83" s="378" t="s">
        <v>104</v>
      </c>
      <c r="B83" s="377">
        <v>20</v>
      </c>
      <c r="C83" s="377">
        <f t="shared" si="0"/>
        <v>30</v>
      </c>
      <c r="D83" s="377">
        <f t="shared" si="1"/>
        <v>80</v>
      </c>
      <c r="E83" s="377">
        <f t="shared" si="2"/>
        <v>300</v>
      </c>
      <c r="F83" s="370"/>
      <c r="G83" s="370"/>
      <c r="H83" s="370"/>
      <c r="I83" s="370"/>
    </row>
    <row r="84" spans="1:9" s="368" customFormat="1" ht="15.75" customHeight="1" x14ac:dyDescent="0.25">
      <c r="F84" s="370"/>
      <c r="G84" s="370"/>
      <c r="H84" s="370"/>
      <c r="I84" s="370"/>
    </row>
    <row r="85" spans="1:9" s="368" customFormat="1" ht="15.75" customHeight="1" x14ac:dyDescent="0.25">
      <c r="A85" s="370" t="s">
        <v>118</v>
      </c>
      <c r="B85" s="369"/>
      <c r="C85" s="369"/>
      <c r="D85" s="369"/>
    </row>
    <row r="86" spans="1:9" s="368" customFormat="1" ht="15.75" customHeight="1" x14ac:dyDescent="0.25">
      <c r="A86" s="369" t="s">
        <v>8</v>
      </c>
      <c r="B86" s="369">
        <v>1</v>
      </c>
      <c r="F86" s="369"/>
      <c r="G86" s="369"/>
    </row>
    <row r="87" spans="1:9" s="368" customFormat="1" ht="15.75" customHeight="1" x14ac:dyDescent="0.25">
      <c r="A87" s="369" t="s">
        <v>9</v>
      </c>
      <c r="B87" s="369">
        <v>4</v>
      </c>
      <c r="G87" s="369"/>
      <c r="H87" s="369"/>
    </row>
    <row r="88" spans="1:9" s="368" customFormat="1" ht="15.75" customHeight="1" x14ac:dyDescent="0.25">
      <c r="A88" s="369" t="s">
        <v>119</v>
      </c>
      <c r="B88" s="369">
        <v>55</v>
      </c>
      <c r="H88" s="369"/>
    </row>
    <row r="89" spans="1:9" s="368" customFormat="1" ht="15.75" customHeight="1" x14ac:dyDescent="0.25">
      <c r="A89" s="369" t="s">
        <v>120</v>
      </c>
      <c r="B89" s="369">
        <v>360</v>
      </c>
    </row>
    <row r="90" spans="1:9" s="368" customFormat="1" ht="15.75" customHeight="1" x14ac:dyDescent="0.25">
      <c r="A90" s="369" t="s">
        <v>121</v>
      </c>
      <c r="B90" s="369">
        <v>400</v>
      </c>
    </row>
    <row r="91" spans="1:9" s="368" customFormat="1" ht="15.75" customHeight="1" x14ac:dyDescent="0.25">
      <c r="A91" s="369" t="s">
        <v>122</v>
      </c>
      <c r="B91" s="369">
        <v>440</v>
      </c>
    </row>
    <row r="92" spans="1:9" s="368" customFormat="1" ht="15.75" customHeight="1" x14ac:dyDescent="0.25">
      <c r="A92" s="369" t="s">
        <v>123</v>
      </c>
      <c r="B92" s="369">
        <v>70</v>
      </c>
    </row>
    <row r="93" spans="1:9" s="368" customFormat="1" ht="15.75" customHeight="1" x14ac:dyDescent="0.25"/>
    <row r="94" spans="1:9" s="368" customFormat="1" ht="15.75" customHeight="1" x14ac:dyDescent="0.25">
      <c r="A94" s="370" t="s">
        <v>54</v>
      </c>
      <c r="B94" s="369">
        <v>1</v>
      </c>
      <c r="C94" s="369"/>
      <c r="D94" s="369"/>
      <c r="E94" s="369"/>
      <c r="F94" s="369"/>
      <c r="G94" s="369"/>
      <c r="H94" s="369"/>
    </row>
    <row r="95" spans="1:9" s="368" customFormat="1" ht="15.75" customHeight="1" x14ac:dyDescent="0.25">
      <c r="A95" s="379" t="s">
        <v>124</v>
      </c>
      <c r="B95" s="380">
        <v>1</v>
      </c>
      <c r="C95" s="369">
        <v>0</v>
      </c>
      <c r="E95" s="369" t="s">
        <v>144</v>
      </c>
      <c r="F95" s="369" t="s">
        <v>146</v>
      </c>
      <c r="G95" s="369" t="s">
        <v>145</v>
      </c>
    </row>
    <row r="96" spans="1:9" s="368" customFormat="1" ht="15.75" customHeight="1" x14ac:dyDescent="0.25">
      <c r="A96" s="379" t="s">
        <v>125</v>
      </c>
      <c r="B96" s="380">
        <v>2</v>
      </c>
      <c r="C96" s="369">
        <v>0.5</v>
      </c>
      <c r="D96" s="369">
        <f>IFERROR(VLOOKUP('TECHNICAL REQUIREMENTS - PRIM'!P3,A94:B104,2,FALSE),1)</f>
        <v>1</v>
      </c>
      <c r="E96" s="369" t="str">
        <f>IF(D96=1,A95,IF(D96=2,A96,IF(OR(D96=3,D96=4,D96=5,D96=8,D96=9),A97,IF(D96=6,A100,IF(D96=7,A101,A104)))))</f>
        <v>Non-member rate</v>
      </c>
      <c r="F96" s="369">
        <f>100%-VLOOKUP(D96,B95:C104,2,FALSE)</f>
        <v>1</v>
      </c>
      <c r="G96" s="369">
        <f>VLOOKUP(D96,B95:C104,2,FALSE)</f>
        <v>0</v>
      </c>
    </row>
    <row r="97" spans="1:19" s="368" customFormat="1" ht="15.75" customHeight="1" x14ac:dyDescent="0.25">
      <c r="A97" s="379" t="s">
        <v>126</v>
      </c>
      <c r="B97" s="380">
        <v>3</v>
      </c>
      <c r="C97" s="369">
        <v>0.75</v>
      </c>
      <c r="D97" s="369">
        <v>1</v>
      </c>
    </row>
    <row r="98" spans="1:19" s="368" customFormat="1" ht="15.75" customHeight="1" x14ac:dyDescent="0.25">
      <c r="A98" s="379" t="s">
        <v>127</v>
      </c>
      <c r="B98" s="380">
        <v>4</v>
      </c>
      <c r="C98" s="369">
        <v>0.75</v>
      </c>
    </row>
    <row r="99" spans="1:19" s="368" customFormat="1" ht="15.75" customHeight="1" x14ac:dyDescent="0.25">
      <c r="A99" s="379" t="s">
        <v>128</v>
      </c>
      <c r="B99" s="380">
        <v>5</v>
      </c>
      <c r="C99" s="369">
        <v>0.75</v>
      </c>
    </row>
    <row r="100" spans="1:19" s="368" customFormat="1" ht="15.75" customHeight="1" x14ac:dyDescent="0.25">
      <c r="A100" s="379" t="s">
        <v>129</v>
      </c>
      <c r="B100" s="380">
        <v>6</v>
      </c>
      <c r="C100" s="369">
        <v>0.85</v>
      </c>
    </row>
    <row r="101" spans="1:19" s="368" customFormat="1" ht="15.75" customHeight="1" x14ac:dyDescent="0.25">
      <c r="A101" s="379" t="s">
        <v>130</v>
      </c>
      <c r="B101" s="380">
        <v>7</v>
      </c>
      <c r="C101" s="369">
        <v>0.9</v>
      </c>
    </row>
    <row r="102" spans="1:19" s="368" customFormat="1" ht="15.75" customHeight="1" x14ac:dyDescent="0.25">
      <c r="A102" s="379" t="s">
        <v>131</v>
      </c>
      <c r="B102" s="380">
        <v>8</v>
      </c>
      <c r="C102" s="369">
        <v>0.75</v>
      </c>
    </row>
    <row r="103" spans="1:19" s="368" customFormat="1" ht="19.5" customHeight="1" x14ac:dyDescent="0.25">
      <c r="A103" s="379" t="s">
        <v>132</v>
      </c>
      <c r="B103" s="380">
        <v>9</v>
      </c>
      <c r="C103" s="369">
        <v>0.75</v>
      </c>
    </row>
    <row r="104" spans="1:19" s="368" customFormat="1" ht="15.75" customHeight="1" x14ac:dyDescent="0.25">
      <c r="A104" s="379" t="s">
        <v>133</v>
      </c>
      <c r="B104" s="380">
        <v>10</v>
      </c>
      <c r="C104" s="369">
        <v>1</v>
      </c>
      <c r="D104" s="369"/>
      <c r="E104" s="369"/>
      <c r="F104" s="369"/>
      <c r="G104" s="369"/>
      <c r="H104" s="369"/>
      <c r="I104" s="369"/>
      <c r="J104" s="369"/>
      <c r="K104" s="369"/>
      <c r="L104" s="369"/>
      <c r="M104" s="369"/>
      <c r="N104" s="369"/>
      <c r="O104" s="369"/>
      <c r="P104" s="369"/>
      <c r="Q104" s="369"/>
      <c r="R104" s="369"/>
      <c r="S104" s="369"/>
    </row>
    <row r="105" spans="1:19" s="368" customFormat="1" ht="15" customHeight="1" x14ac:dyDescent="0.25">
      <c r="A105" s="369"/>
      <c r="B105" s="369"/>
      <c r="C105" s="369"/>
    </row>
    <row r="107" spans="1:19" s="368" customFormat="1" ht="15" customHeight="1" x14ac:dyDescent="0.25">
      <c r="A107" s="368" t="s">
        <v>134</v>
      </c>
      <c r="C107" s="381" t="s">
        <v>42</v>
      </c>
      <c r="D107" s="382">
        <v>60</v>
      </c>
    </row>
    <row r="108" spans="1:19" s="368" customFormat="1" ht="15" customHeight="1" x14ac:dyDescent="0.25">
      <c r="B108" s="368" t="s">
        <v>135</v>
      </c>
      <c r="D108" s="368" t="s">
        <v>47</v>
      </c>
    </row>
    <row r="109" spans="1:19" s="368" customFormat="1" ht="15" customHeight="1" x14ac:dyDescent="0.25">
      <c r="B109" s="368" t="s">
        <v>45</v>
      </c>
      <c r="C109" s="368" t="s">
        <v>43</v>
      </c>
      <c r="D109" s="381" t="s">
        <v>46</v>
      </c>
      <c r="E109" s="368" t="s">
        <v>44</v>
      </c>
    </row>
    <row r="110" spans="1:19" s="368" customFormat="1" ht="15" customHeight="1" x14ac:dyDescent="0.25">
      <c r="A110" s="368" t="s">
        <v>37</v>
      </c>
      <c r="B110" s="368">
        <v>5</v>
      </c>
      <c r="C110" s="368">
        <f>B110*$B$4*40</f>
        <v>6000</v>
      </c>
      <c r="D110" s="368">
        <v>16</v>
      </c>
      <c r="E110" s="368">
        <f>D110*$B$4*40</f>
        <v>19200</v>
      </c>
    </row>
    <row r="111" spans="1:19" s="368" customFormat="1" ht="15" customHeight="1" x14ac:dyDescent="0.25">
      <c r="A111" s="368" t="s">
        <v>40</v>
      </c>
      <c r="B111" s="368">
        <v>5</v>
      </c>
      <c r="C111" s="368">
        <f t="shared" ref="C111:C113" si="3">B111*$B$4*40</f>
        <v>6000</v>
      </c>
      <c r="D111" s="368">
        <v>16</v>
      </c>
      <c r="E111" s="368">
        <f t="shared" ref="E111:E113" si="4">D111*$B$4*40</f>
        <v>19200</v>
      </c>
    </row>
    <row r="112" spans="1:19" s="368" customFormat="1" ht="15.75" customHeight="1" x14ac:dyDescent="0.25">
      <c r="A112" s="368" t="s">
        <v>39</v>
      </c>
      <c r="B112" s="368">
        <v>3</v>
      </c>
      <c r="C112" s="368">
        <f t="shared" si="3"/>
        <v>3600</v>
      </c>
      <c r="D112" s="368">
        <v>12</v>
      </c>
      <c r="E112" s="368">
        <f t="shared" si="4"/>
        <v>14400</v>
      </c>
    </row>
    <row r="113" spans="1:5" s="368" customFormat="1" ht="15.75" customHeight="1" x14ac:dyDescent="0.25">
      <c r="A113" s="368" t="s">
        <v>41</v>
      </c>
      <c r="B113" s="368">
        <v>3</v>
      </c>
      <c r="C113" s="368">
        <f t="shared" si="3"/>
        <v>3600</v>
      </c>
      <c r="D113" s="368">
        <v>12</v>
      </c>
      <c r="E113" s="368">
        <f t="shared" si="4"/>
        <v>14400</v>
      </c>
    </row>
    <row r="114" spans="1:5" s="368" customFormat="1" ht="15.75" customHeight="1" x14ac:dyDescent="0.25"/>
    <row r="115" spans="1:5" s="368" customFormat="1" ht="15.75" customHeight="1" x14ac:dyDescent="0.25"/>
    <row r="116" spans="1:5" s="368" customFormat="1" ht="15.75" customHeight="1" x14ac:dyDescent="0.25"/>
    <row r="117" spans="1:5" s="368" customFormat="1" ht="15.75" customHeight="1" x14ac:dyDescent="0.25"/>
    <row r="118" spans="1:5" s="368" customFormat="1" ht="15.75" customHeight="1" x14ac:dyDescent="0.25"/>
    <row r="119" spans="1:5" s="368" customFormat="1" ht="15.75" customHeight="1" x14ac:dyDescent="0.25"/>
    <row r="120" spans="1:5" s="368" customFormat="1" ht="15.75" customHeight="1" x14ac:dyDescent="0.25"/>
    <row r="121" spans="1:5" s="368" customFormat="1" ht="15.75" customHeight="1" x14ac:dyDescent="0.25"/>
    <row r="122" spans="1:5" s="368" customFormat="1" ht="15.75" customHeight="1" x14ac:dyDescent="0.25"/>
    <row r="123" spans="1:5" s="368" customFormat="1" ht="15.75" customHeight="1" x14ac:dyDescent="0.25"/>
    <row r="124" spans="1:5" s="368" customFormat="1" ht="15.75" customHeight="1" x14ac:dyDescent="0.25"/>
    <row r="125" spans="1:5" s="368" customFormat="1" ht="15.75" customHeight="1" x14ac:dyDescent="0.25"/>
    <row r="126" spans="1:5" s="368" customFormat="1" ht="15.75" customHeight="1" x14ac:dyDescent="0.25"/>
    <row r="127" spans="1:5" s="368" customFormat="1" ht="15.75" customHeight="1" x14ac:dyDescent="0.25"/>
    <row r="128" spans="1:5" s="368" customFormat="1" ht="15.75" customHeight="1" x14ac:dyDescent="0.25"/>
    <row r="129" s="368" customFormat="1" ht="15.75" customHeight="1" x14ac:dyDescent="0.25"/>
    <row r="130" s="368" customFormat="1" ht="15.75" customHeight="1" x14ac:dyDescent="0.25"/>
    <row r="131" s="368" customFormat="1" ht="15.75" customHeight="1" x14ac:dyDescent="0.25"/>
    <row r="132" s="368" customFormat="1" ht="15.75" customHeight="1" x14ac:dyDescent="0.25"/>
    <row r="133" s="368" customFormat="1" ht="15.75" customHeight="1" x14ac:dyDescent="0.25"/>
    <row r="134" s="368" customFormat="1" ht="15.75" customHeight="1" x14ac:dyDescent="0.25"/>
    <row r="135" s="368" customFormat="1" ht="15.75" customHeight="1" x14ac:dyDescent="0.25"/>
    <row r="136" s="368" customFormat="1" ht="15.75" customHeight="1" x14ac:dyDescent="0.25"/>
    <row r="137" s="368" customFormat="1" ht="15.75" customHeight="1" x14ac:dyDescent="0.25"/>
    <row r="138" s="368" customFormat="1" ht="15.75" customHeight="1" x14ac:dyDescent="0.25"/>
    <row r="139" s="368" customFormat="1" ht="15.75" customHeight="1" x14ac:dyDescent="0.25"/>
    <row r="140" s="368" customFormat="1" ht="15.75" customHeight="1" x14ac:dyDescent="0.25"/>
    <row r="141" s="368" customFormat="1" ht="15.75" customHeight="1" x14ac:dyDescent="0.25"/>
    <row r="142" s="368" customFormat="1" ht="15.75" customHeight="1" x14ac:dyDescent="0.25"/>
    <row r="143" s="368" customFormat="1" ht="15.75" customHeight="1" x14ac:dyDescent="0.25"/>
    <row r="144" s="368" customFormat="1" ht="15.75" customHeight="1" x14ac:dyDescent="0.25"/>
    <row r="145" s="368" customFormat="1" ht="15.75" customHeight="1" x14ac:dyDescent="0.25"/>
    <row r="146" s="368" customFormat="1" ht="15.75" customHeight="1" x14ac:dyDescent="0.25"/>
    <row r="147" s="368" customFormat="1" ht="15.75" customHeight="1" x14ac:dyDescent="0.25"/>
    <row r="148" s="368" customFormat="1" ht="15.75" customHeight="1" x14ac:dyDescent="0.25"/>
    <row r="149" s="368" customFormat="1" ht="15.75" customHeight="1" x14ac:dyDescent="0.25"/>
    <row r="150" s="368" customFormat="1" ht="15.75" customHeight="1" x14ac:dyDescent="0.25"/>
    <row r="151" s="368" customFormat="1" ht="15.75" customHeight="1" x14ac:dyDescent="0.25"/>
    <row r="152" s="368" customFormat="1" ht="15.75" customHeight="1" x14ac:dyDescent="0.25"/>
    <row r="153" s="368" customFormat="1" ht="15.75" customHeight="1" x14ac:dyDescent="0.25"/>
    <row r="154" s="368" customFormat="1" ht="15.75" customHeight="1" x14ac:dyDescent="0.25"/>
    <row r="155" s="368" customFormat="1" ht="15.75" customHeight="1" x14ac:dyDescent="0.25"/>
    <row r="156" s="368" customFormat="1" ht="15.75" customHeight="1" x14ac:dyDescent="0.25"/>
    <row r="157" s="368" customFormat="1" ht="15.75" customHeight="1" x14ac:dyDescent="0.25"/>
    <row r="158" s="368" customFormat="1" ht="15.75" customHeight="1" x14ac:dyDescent="0.25"/>
    <row r="159" s="368" customFormat="1" ht="15.75" customHeight="1" x14ac:dyDescent="0.25"/>
    <row r="160" s="368" customFormat="1" ht="15.75" customHeight="1" x14ac:dyDescent="0.25"/>
    <row r="161" s="368" customFormat="1" ht="15.75" customHeight="1" x14ac:dyDescent="0.25"/>
    <row r="162" s="368" customFormat="1" ht="15.75" customHeight="1" x14ac:dyDescent="0.25"/>
    <row r="163" s="368" customFormat="1" ht="15.75" customHeight="1" x14ac:dyDescent="0.25"/>
    <row r="164" s="368" customFormat="1" ht="15.75" customHeight="1" x14ac:dyDescent="0.25"/>
    <row r="165" s="368" customFormat="1" ht="15.75" customHeight="1" x14ac:dyDescent="0.25"/>
    <row r="166" s="368" customFormat="1" ht="15.75" customHeight="1" x14ac:dyDescent="0.25"/>
    <row r="167" s="368" customFormat="1" ht="15.75" customHeight="1" x14ac:dyDescent="0.25"/>
    <row r="168" s="368" customFormat="1" ht="15.75" customHeight="1" x14ac:dyDescent="0.25"/>
    <row r="169" s="368" customFormat="1" ht="15.75" customHeight="1" x14ac:dyDescent="0.25"/>
    <row r="170" s="368" customFormat="1" ht="15.75" customHeight="1" x14ac:dyDescent="0.25"/>
    <row r="171" s="368" customFormat="1" ht="15.75" customHeight="1" x14ac:dyDescent="0.25"/>
    <row r="172" s="368" customFormat="1" ht="15.75" customHeight="1" x14ac:dyDescent="0.25"/>
    <row r="173" s="368" customFormat="1" ht="15.75" customHeight="1" x14ac:dyDescent="0.25"/>
    <row r="174" s="368" customFormat="1" ht="15.75" customHeight="1" x14ac:dyDescent="0.25"/>
    <row r="175" s="368" customFormat="1" ht="15.75" customHeight="1" x14ac:dyDescent="0.25"/>
    <row r="176" s="368" customFormat="1" ht="15.75" customHeight="1" x14ac:dyDescent="0.25"/>
    <row r="177" s="368" customFormat="1" ht="15.75" customHeight="1" x14ac:dyDescent="0.25"/>
    <row r="178" s="368" customFormat="1" ht="15.75" customHeight="1" x14ac:dyDescent="0.25"/>
    <row r="179" s="368" customFormat="1" ht="15.75" customHeight="1" x14ac:dyDescent="0.25"/>
    <row r="180" s="368" customFormat="1" ht="15.75" customHeight="1" x14ac:dyDescent="0.25"/>
    <row r="181" s="368" customFormat="1" ht="15.75" customHeight="1" x14ac:dyDescent="0.25"/>
    <row r="182" s="368" customFormat="1" ht="15.75" customHeight="1" x14ac:dyDescent="0.25"/>
    <row r="183" s="368" customFormat="1" ht="15.75" customHeight="1" x14ac:dyDescent="0.25"/>
    <row r="184" s="368" customFormat="1" ht="15.75" customHeight="1" x14ac:dyDescent="0.25"/>
    <row r="185" s="368" customFormat="1" ht="15.75" customHeight="1" x14ac:dyDescent="0.25"/>
    <row r="186" s="368" customFormat="1" ht="15.75" customHeight="1" x14ac:dyDescent="0.25"/>
    <row r="187" s="368" customFormat="1" ht="15.75" customHeight="1" x14ac:dyDescent="0.25"/>
    <row r="188" s="368" customFormat="1" ht="15.75" customHeight="1" x14ac:dyDescent="0.25"/>
    <row r="189" s="368" customFormat="1" ht="15.75" customHeight="1" x14ac:dyDescent="0.25"/>
    <row r="190" s="368" customFormat="1" ht="15.75" customHeight="1" x14ac:dyDescent="0.25"/>
    <row r="191" s="368" customFormat="1" ht="15.75" customHeight="1" x14ac:dyDescent="0.25"/>
    <row r="192" s="368" customFormat="1" ht="15.75" customHeight="1" x14ac:dyDescent="0.25"/>
    <row r="193" s="368" customFormat="1" ht="15.75" customHeight="1" x14ac:dyDescent="0.25"/>
    <row r="194" s="368" customFormat="1" ht="15.75" customHeight="1" x14ac:dyDescent="0.25"/>
    <row r="195" s="368" customFormat="1" ht="15.75" customHeight="1" x14ac:dyDescent="0.25"/>
    <row r="196" s="368" customFormat="1" ht="15.75" customHeight="1" x14ac:dyDescent="0.25"/>
    <row r="197" s="368" customFormat="1" ht="15.75" customHeight="1" x14ac:dyDescent="0.25"/>
    <row r="198" s="368" customFormat="1" ht="15.75" customHeight="1" x14ac:dyDescent="0.25"/>
    <row r="199" s="368" customFormat="1" ht="15.75" customHeight="1" x14ac:dyDescent="0.25"/>
    <row r="200" s="368" customFormat="1" ht="15.75" customHeight="1" x14ac:dyDescent="0.25"/>
    <row r="201" s="368" customFormat="1" ht="15.75" customHeight="1" x14ac:dyDescent="0.25"/>
    <row r="202" s="368" customFormat="1" ht="15.75" customHeight="1" x14ac:dyDescent="0.25"/>
    <row r="203" s="368" customFormat="1" ht="15.75" customHeight="1" x14ac:dyDescent="0.25"/>
    <row r="204" s="368" customFormat="1" ht="15.75" customHeight="1" x14ac:dyDescent="0.25"/>
    <row r="205" s="368" customFormat="1" ht="15.75" customHeight="1" x14ac:dyDescent="0.25"/>
    <row r="206" s="368" customFormat="1" ht="15.75" customHeight="1" x14ac:dyDescent="0.25"/>
    <row r="207" s="368" customFormat="1" ht="15.75" customHeight="1" x14ac:dyDescent="0.25"/>
    <row r="208" s="368" customFormat="1" ht="15.75" customHeight="1" x14ac:dyDescent="0.25"/>
    <row r="209" s="368" customFormat="1" ht="15.75" customHeight="1" x14ac:dyDescent="0.25"/>
    <row r="210" s="368" customFormat="1" ht="15.75" customHeight="1" x14ac:dyDescent="0.25"/>
    <row r="211" s="368" customFormat="1" ht="15.75" customHeight="1" x14ac:dyDescent="0.25"/>
    <row r="212" s="368" customFormat="1" ht="15.75" customHeight="1" x14ac:dyDescent="0.25"/>
    <row r="213" s="368" customFormat="1" ht="15.75" customHeight="1" x14ac:dyDescent="0.25"/>
    <row r="214" s="368" customFormat="1" ht="15.75" customHeight="1" x14ac:dyDescent="0.25"/>
    <row r="215" s="368" customFormat="1" ht="15.75" customHeight="1" x14ac:dyDescent="0.25"/>
    <row r="216" s="368" customFormat="1" ht="15.75" customHeight="1" x14ac:dyDescent="0.25"/>
    <row r="217" s="368" customFormat="1" ht="15.75" customHeight="1" x14ac:dyDescent="0.25"/>
    <row r="218" s="368" customFormat="1" ht="15.75" customHeight="1" x14ac:dyDescent="0.25"/>
    <row r="219" s="368" customFormat="1" ht="15.75" customHeight="1" x14ac:dyDescent="0.25"/>
    <row r="220" s="368" customFormat="1" ht="15.75" customHeight="1" x14ac:dyDescent="0.25"/>
    <row r="221" s="368" customFormat="1" ht="15.75" customHeight="1" x14ac:dyDescent="0.25"/>
    <row r="222" s="368" customFormat="1" ht="15.75" customHeight="1" x14ac:dyDescent="0.25"/>
    <row r="223" s="368" customFormat="1" ht="15.75" customHeight="1" x14ac:dyDescent="0.25"/>
    <row r="224" s="368" customFormat="1" ht="15.75" customHeight="1" x14ac:dyDescent="0.25"/>
    <row r="225" s="368" customFormat="1" ht="15.75" customHeight="1" x14ac:dyDescent="0.25"/>
    <row r="226" s="368" customFormat="1" ht="15.75" customHeight="1" x14ac:dyDescent="0.25"/>
    <row r="227" s="368" customFormat="1" ht="15.75" customHeight="1" x14ac:dyDescent="0.25"/>
    <row r="228" s="368" customFormat="1" ht="15.75" customHeight="1" x14ac:dyDescent="0.25"/>
    <row r="229" s="368" customFormat="1" ht="15.75" customHeight="1" x14ac:dyDescent="0.25"/>
    <row r="230" s="368" customFormat="1" ht="15.75" customHeight="1" x14ac:dyDescent="0.25"/>
    <row r="231" s="368" customFormat="1" ht="15.75" customHeight="1" x14ac:dyDescent="0.25"/>
    <row r="232" s="368" customFormat="1" ht="15.75" customHeight="1" x14ac:dyDescent="0.25"/>
    <row r="233" s="368" customFormat="1" ht="15.75" customHeight="1" x14ac:dyDescent="0.25"/>
    <row r="234" s="368" customFormat="1" ht="15.75" customHeight="1" x14ac:dyDescent="0.25"/>
    <row r="235" s="368" customFormat="1" ht="15.75" customHeight="1" x14ac:dyDescent="0.25"/>
    <row r="236" s="368" customFormat="1" ht="15.75" customHeight="1" x14ac:dyDescent="0.25"/>
    <row r="237" s="368" customFormat="1" ht="15.75" customHeight="1" x14ac:dyDescent="0.25"/>
    <row r="238" s="368" customFormat="1" ht="15.75" customHeight="1" x14ac:dyDescent="0.25"/>
    <row r="239" s="368" customFormat="1" ht="15.75" customHeight="1" x14ac:dyDescent="0.25"/>
    <row r="240" s="368" customFormat="1" ht="15.75" customHeight="1" x14ac:dyDescent="0.25"/>
    <row r="241" s="368" customFormat="1" ht="15.75" customHeight="1" x14ac:dyDescent="0.25"/>
    <row r="242" s="368" customFormat="1" ht="15.75" customHeight="1" x14ac:dyDescent="0.25"/>
    <row r="243" s="368" customFormat="1" ht="15.75" customHeight="1" x14ac:dyDescent="0.25"/>
    <row r="244" s="368" customFormat="1" ht="15.75" customHeight="1" x14ac:dyDescent="0.25"/>
    <row r="245" s="368" customFormat="1" ht="15.75" customHeight="1" x14ac:dyDescent="0.25"/>
    <row r="246" s="368" customFormat="1" ht="15.75" customHeight="1" x14ac:dyDescent="0.25"/>
    <row r="247" s="368" customFormat="1" ht="15.75" customHeight="1" x14ac:dyDescent="0.25"/>
    <row r="248" s="368" customFormat="1" ht="15.75" customHeight="1" x14ac:dyDescent="0.25"/>
    <row r="249" s="368" customFormat="1" ht="15.75" customHeight="1" x14ac:dyDescent="0.25"/>
    <row r="250" s="368" customFormat="1" ht="15.75" customHeight="1" x14ac:dyDescent="0.25"/>
    <row r="251" s="368" customFormat="1" ht="15.75" customHeight="1" x14ac:dyDescent="0.25"/>
    <row r="252" s="368" customFormat="1" ht="15.75" customHeight="1" x14ac:dyDescent="0.25"/>
    <row r="253" s="368" customFormat="1" ht="15.75" customHeight="1" x14ac:dyDescent="0.25"/>
    <row r="254" s="368" customFormat="1" ht="15.75" customHeight="1" x14ac:dyDescent="0.25"/>
    <row r="255" s="368" customFormat="1" ht="15.75" customHeight="1" x14ac:dyDescent="0.25"/>
    <row r="256" s="368" customFormat="1" ht="15.75" customHeight="1" x14ac:dyDescent="0.25"/>
    <row r="257" s="368" customFormat="1" ht="15.75" customHeight="1" x14ac:dyDescent="0.25"/>
    <row r="258" s="368" customFormat="1" ht="15.75" customHeight="1" x14ac:dyDescent="0.25"/>
    <row r="259" s="368" customFormat="1" ht="15.75" customHeight="1" x14ac:dyDescent="0.25"/>
    <row r="260" s="368" customFormat="1" ht="15.75" customHeight="1" x14ac:dyDescent="0.25"/>
    <row r="261" s="368" customFormat="1" ht="15.75" customHeight="1" x14ac:dyDescent="0.25"/>
    <row r="262" s="368" customFormat="1" ht="15.75" customHeight="1" x14ac:dyDescent="0.25"/>
    <row r="263" s="368" customFormat="1" ht="15.75" customHeight="1" x14ac:dyDescent="0.25"/>
    <row r="264" s="368" customFormat="1" ht="15.75" customHeight="1" x14ac:dyDescent="0.25"/>
    <row r="265" s="368" customFormat="1" ht="15.75" customHeight="1" x14ac:dyDescent="0.25"/>
    <row r="266" s="368" customFormat="1" ht="15.75" customHeight="1" x14ac:dyDescent="0.25"/>
    <row r="267" s="368" customFormat="1" ht="15.75" customHeight="1" x14ac:dyDescent="0.25"/>
    <row r="268" s="368" customFormat="1" ht="15.75" customHeight="1" x14ac:dyDescent="0.25"/>
    <row r="269" s="368" customFormat="1" ht="15.75" customHeight="1" x14ac:dyDescent="0.25"/>
    <row r="270" s="368" customFormat="1" ht="15.75" customHeight="1" x14ac:dyDescent="0.25"/>
    <row r="271" s="368" customFormat="1" ht="15.75" customHeight="1" x14ac:dyDescent="0.25"/>
    <row r="272" s="368" customFormat="1" ht="15.75" customHeight="1" x14ac:dyDescent="0.25"/>
    <row r="273" s="368" customFormat="1" ht="15.75" customHeight="1" x14ac:dyDescent="0.25"/>
    <row r="274" s="368" customFormat="1" ht="15.75" customHeight="1" x14ac:dyDescent="0.25"/>
    <row r="275" s="368" customFormat="1" ht="15.75" customHeight="1" x14ac:dyDescent="0.25"/>
    <row r="276" s="368" customFormat="1" ht="15.75" customHeight="1" x14ac:dyDescent="0.25"/>
    <row r="277" s="368" customFormat="1" ht="15.75" customHeight="1" x14ac:dyDescent="0.25"/>
    <row r="278" s="368" customFormat="1" ht="15.75" customHeight="1" x14ac:dyDescent="0.25"/>
    <row r="279" s="368" customFormat="1" ht="15.75" customHeight="1" x14ac:dyDescent="0.25"/>
    <row r="280" s="368" customFormat="1" ht="15.75" customHeight="1" x14ac:dyDescent="0.25"/>
    <row r="281" s="368" customFormat="1" ht="15.75" customHeight="1" x14ac:dyDescent="0.25"/>
    <row r="282" s="368" customFormat="1" ht="15.75" customHeight="1" x14ac:dyDescent="0.25"/>
    <row r="283" s="368" customFormat="1" ht="15.75" customHeight="1" x14ac:dyDescent="0.25"/>
    <row r="284" s="368" customFormat="1" ht="15.75" customHeight="1" x14ac:dyDescent="0.25"/>
    <row r="285" s="368" customFormat="1" ht="15.75" customHeight="1" x14ac:dyDescent="0.25"/>
    <row r="286" s="368" customFormat="1" ht="15.75" customHeight="1" x14ac:dyDescent="0.25"/>
    <row r="287" s="368" customFormat="1" ht="15.75" customHeight="1" x14ac:dyDescent="0.25"/>
    <row r="288" s="368" customFormat="1" ht="15.75" customHeight="1" x14ac:dyDescent="0.25"/>
    <row r="289" s="368" customFormat="1" ht="15.75" customHeight="1" x14ac:dyDescent="0.25"/>
    <row r="290" s="368" customFormat="1" ht="15.75" customHeight="1" x14ac:dyDescent="0.25"/>
    <row r="291" s="368" customFormat="1" ht="15.75" customHeight="1" x14ac:dyDescent="0.25"/>
    <row r="292" s="368" customFormat="1" ht="15.75" customHeight="1" x14ac:dyDescent="0.25"/>
    <row r="293" s="368" customFormat="1" ht="15.75" customHeight="1" x14ac:dyDescent="0.25"/>
    <row r="294" s="368" customFormat="1" ht="15.75" customHeight="1" x14ac:dyDescent="0.25"/>
    <row r="295" s="368" customFormat="1" ht="15.75" customHeight="1" x14ac:dyDescent="0.25"/>
    <row r="296" s="368" customFormat="1" ht="15.75" customHeight="1" x14ac:dyDescent="0.25"/>
    <row r="297" s="368" customFormat="1" ht="15.75" customHeight="1" x14ac:dyDescent="0.25"/>
    <row r="298" s="368" customFormat="1" ht="15.75" customHeight="1" x14ac:dyDescent="0.25"/>
    <row r="299" s="368" customFormat="1" ht="15.75" customHeight="1" x14ac:dyDescent="0.25"/>
    <row r="300" s="368" customFormat="1" ht="15.75" customHeight="1" x14ac:dyDescent="0.25"/>
    <row r="301" s="368" customFormat="1" ht="15.75" customHeight="1" x14ac:dyDescent="0.25"/>
    <row r="302" s="368" customFormat="1" ht="15.75" customHeight="1" x14ac:dyDescent="0.25"/>
    <row r="303" s="368" customFormat="1" ht="15.75" customHeight="1" x14ac:dyDescent="0.25"/>
    <row r="304" s="368" customFormat="1" ht="15.75" customHeight="1" x14ac:dyDescent="0.25"/>
    <row r="305" s="368" customFormat="1" ht="15.75" customHeight="1" x14ac:dyDescent="0.25"/>
    <row r="306" s="368" customFormat="1" ht="15.75" customHeight="1" x14ac:dyDescent="0.25"/>
    <row r="307" s="368" customFormat="1" ht="15.75" customHeight="1" x14ac:dyDescent="0.25"/>
    <row r="308" s="368" customFormat="1" ht="15.75" customHeight="1" x14ac:dyDescent="0.25"/>
    <row r="309" s="368" customFormat="1" ht="15.75" customHeight="1" x14ac:dyDescent="0.25"/>
    <row r="310" s="368" customFormat="1" ht="15.75" customHeight="1" x14ac:dyDescent="0.25"/>
    <row r="311" s="368" customFormat="1" ht="15.75" customHeight="1" x14ac:dyDescent="0.25"/>
    <row r="312" s="368" customFormat="1" ht="15.75" customHeight="1" x14ac:dyDescent="0.25"/>
    <row r="313" s="368" customFormat="1" ht="15.75" customHeight="1" x14ac:dyDescent="0.25"/>
    <row r="314" s="368" customFormat="1" ht="15.75" customHeight="1" x14ac:dyDescent="0.25"/>
    <row r="315" s="368" customFormat="1" ht="15.75" customHeight="1" x14ac:dyDescent="0.25"/>
    <row r="316" s="368" customFormat="1" ht="15.75" customHeight="1" x14ac:dyDescent="0.25"/>
    <row r="317" s="368" customFormat="1" ht="15.75" customHeight="1" x14ac:dyDescent="0.25"/>
    <row r="318" s="368" customFormat="1" ht="15.75" customHeight="1" x14ac:dyDescent="0.25"/>
    <row r="319" s="368" customFormat="1" ht="15.75" customHeight="1" x14ac:dyDescent="0.25"/>
    <row r="320" s="368" customFormat="1" ht="15.75" customHeight="1" x14ac:dyDescent="0.25"/>
    <row r="321" s="368" customFormat="1" ht="15.75" customHeight="1" x14ac:dyDescent="0.25"/>
    <row r="322" s="368" customFormat="1" ht="15.75" customHeight="1" x14ac:dyDescent="0.25"/>
    <row r="323" s="368" customFormat="1" ht="15.75" customHeight="1" x14ac:dyDescent="0.25"/>
    <row r="324" s="368" customFormat="1" ht="15.75" customHeight="1" x14ac:dyDescent="0.25"/>
    <row r="325" s="368" customFormat="1" ht="15.75" customHeight="1" x14ac:dyDescent="0.25"/>
    <row r="326" s="368" customFormat="1" ht="15.75" customHeight="1" x14ac:dyDescent="0.25"/>
    <row r="327" s="368" customFormat="1" ht="15.75" customHeight="1" x14ac:dyDescent="0.25"/>
    <row r="328" s="368" customFormat="1" ht="15.75" customHeight="1" x14ac:dyDescent="0.25"/>
    <row r="329" s="368" customFormat="1" ht="15.75" customHeight="1" x14ac:dyDescent="0.25"/>
    <row r="330" s="368" customFormat="1" ht="15.75" customHeight="1" x14ac:dyDescent="0.25"/>
    <row r="331" s="368" customFormat="1" ht="15.75" customHeight="1" x14ac:dyDescent="0.25"/>
    <row r="332" s="368" customFormat="1" ht="15.75" customHeight="1" x14ac:dyDescent="0.25"/>
    <row r="333" s="368" customFormat="1" ht="15.75" customHeight="1" x14ac:dyDescent="0.25"/>
    <row r="334" s="368" customFormat="1" ht="15.75" customHeight="1" x14ac:dyDescent="0.25"/>
    <row r="335" s="368" customFormat="1" ht="15.75" customHeight="1" x14ac:dyDescent="0.25"/>
    <row r="336" s="368" customFormat="1" ht="15.75" customHeight="1" x14ac:dyDescent="0.25"/>
    <row r="337" s="368" customFormat="1" ht="15.75" customHeight="1" x14ac:dyDescent="0.25"/>
    <row r="338" s="368" customFormat="1" ht="15.75" customHeight="1" x14ac:dyDescent="0.25"/>
    <row r="339" s="368" customFormat="1" ht="15.75" customHeight="1" x14ac:dyDescent="0.25"/>
    <row r="340" s="368" customFormat="1" ht="15.75" customHeight="1" x14ac:dyDescent="0.25"/>
    <row r="341" s="368" customFormat="1" ht="15.75" customHeight="1" x14ac:dyDescent="0.25"/>
    <row r="342" s="368" customFormat="1" ht="15.75" customHeight="1" x14ac:dyDescent="0.25"/>
    <row r="343" s="368" customFormat="1" ht="15.75" customHeight="1" x14ac:dyDescent="0.25"/>
    <row r="344" s="368" customFormat="1" ht="15.75" customHeight="1" x14ac:dyDescent="0.25"/>
    <row r="345" s="368" customFormat="1" ht="15.75" customHeight="1" x14ac:dyDescent="0.25"/>
    <row r="346" s="368" customFormat="1" ht="15.75" customHeight="1" x14ac:dyDescent="0.25"/>
    <row r="347" s="368" customFormat="1" ht="15.75" customHeight="1" x14ac:dyDescent="0.25"/>
    <row r="348" s="368" customFormat="1" ht="15.75" customHeight="1" x14ac:dyDescent="0.25"/>
    <row r="349" s="368" customFormat="1" ht="15.75" customHeight="1" x14ac:dyDescent="0.25"/>
    <row r="350" s="368" customFormat="1" ht="15.75" customHeight="1" x14ac:dyDescent="0.25"/>
    <row r="351" s="368" customFormat="1" ht="15.75" customHeight="1" x14ac:dyDescent="0.25"/>
    <row r="352" s="368" customFormat="1" ht="15.75" customHeight="1" x14ac:dyDescent="0.25"/>
    <row r="353" s="368" customFormat="1" ht="15.75" customHeight="1" x14ac:dyDescent="0.25"/>
    <row r="354" s="368" customFormat="1" ht="15.75" customHeight="1" x14ac:dyDescent="0.25"/>
    <row r="355" s="368" customFormat="1" ht="15.75" customHeight="1" x14ac:dyDescent="0.25"/>
    <row r="356" s="368" customFormat="1" ht="15.75" customHeight="1" x14ac:dyDescent="0.25"/>
    <row r="357" s="368" customFormat="1" ht="15.75" customHeight="1" x14ac:dyDescent="0.25"/>
    <row r="358" s="368" customFormat="1" ht="15.75" customHeight="1" x14ac:dyDescent="0.25"/>
    <row r="359" s="368" customFormat="1" ht="15.75" customHeight="1" x14ac:dyDescent="0.25"/>
    <row r="360" s="368" customFormat="1" ht="15.75" customHeight="1" x14ac:dyDescent="0.25"/>
    <row r="361" s="368" customFormat="1" ht="15.75" customHeight="1" x14ac:dyDescent="0.25"/>
    <row r="362" s="368" customFormat="1" ht="15.75" customHeight="1" x14ac:dyDescent="0.25"/>
    <row r="363" s="368" customFormat="1" ht="15.75" customHeight="1" x14ac:dyDescent="0.25"/>
    <row r="364" s="368" customFormat="1" ht="15.75" customHeight="1" x14ac:dyDescent="0.25"/>
    <row r="365" s="368" customFormat="1" ht="15.75" customHeight="1" x14ac:dyDescent="0.25"/>
    <row r="366" s="368" customFormat="1" ht="15.75" customHeight="1" x14ac:dyDescent="0.25"/>
    <row r="367" s="368" customFormat="1" ht="15.75" customHeight="1" x14ac:dyDescent="0.25"/>
    <row r="368" s="368" customFormat="1" ht="15.75" customHeight="1" x14ac:dyDescent="0.25"/>
    <row r="369" s="368" customFormat="1" ht="15.75" customHeight="1" x14ac:dyDescent="0.25"/>
    <row r="370" s="368" customFormat="1" ht="15.75" customHeight="1" x14ac:dyDescent="0.25"/>
    <row r="371" s="368" customFormat="1" ht="15.75" customHeight="1" x14ac:dyDescent="0.25"/>
    <row r="372" s="368" customFormat="1" ht="15.75" customHeight="1" x14ac:dyDescent="0.25"/>
    <row r="373" s="368" customFormat="1" ht="15.75" customHeight="1" x14ac:dyDescent="0.25"/>
    <row r="374" s="368" customFormat="1" ht="15.75" customHeight="1" x14ac:dyDescent="0.25"/>
    <row r="375" s="368" customFormat="1" ht="15.75" customHeight="1" x14ac:dyDescent="0.25"/>
    <row r="376" s="368" customFormat="1" ht="15.75" customHeight="1" x14ac:dyDescent="0.25"/>
    <row r="377" s="368" customFormat="1" ht="15.75" customHeight="1" x14ac:dyDescent="0.25"/>
    <row r="378" s="368" customFormat="1" ht="15.75" customHeight="1" x14ac:dyDescent="0.25"/>
    <row r="379" s="368" customFormat="1" ht="15.75" customHeight="1" x14ac:dyDescent="0.25"/>
    <row r="380" s="368" customFormat="1" ht="15.75" customHeight="1" x14ac:dyDescent="0.25"/>
    <row r="381" s="368" customFormat="1" ht="15.75" customHeight="1" x14ac:dyDescent="0.25"/>
    <row r="382" s="368" customFormat="1" ht="15.75" customHeight="1" x14ac:dyDescent="0.25"/>
    <row r="383" s="368" customFormat="1" ht="15.75" customHeight="1" x14ac:dyDescent="0.25"/>
    <row r="384" s="368" customFormat="1" ht="15.75" customHeight="1" x14ac:dyDescent="0.25"/>
    <row r="385" s="368" customFormat="1" ht="15.75" customHeight="1" x14ac:dyDescent="0.25"/>
    <row r="386" s="368" customFormat="1" ht="15.75" customHeight="1" x14ac:dyDescent="0.25"/>
    <row r="387" s="368" customFormat="1" ht="15.75" customHeight="1" x14ac:dyDescent="0.25"/>
    <row r="388" s="368" customFormat="1" ht="15.75" customHeight="1" x14ac:dyDescent="0.25"/>
    <row r="389" s="368" customFormat="1" ht="15.75" customHeight="1" x14ac:dyDescent="0.25"/>
    <row r="390" s="368" customFormat="1" ht="15.75" customHeight="1" x14ac:dyDescent="0.25"/>
    <row r="391" s="368" customFormat="1" ht="15.75" customHeight="1" x14ac:dyDescent="0.25"/>
    <row r="392" s="368" customFormat="1" ht="15.75" customHeight="1" x14ac:dyDescent="0.25"/>
    <row r="393" s="368" customFormat="1" ht="15.75" customHeight="1" x14ac:dyDescent="0.25"/>
    <row r="394" s="368" customFormat="1" ht="15.75" customHeight="1" x14ac:dyDescent="0.25"/>
    <row r="395" s="368" customFormat="1" ht="15.75" customHeight="1" x14ac:dyDescent="0.25"/>
    <row r="396" s="368" customFormat="1" ht="15.75" customHeight="1" x14ac:dyDescent="0.25"/>
    <row r="397" s="368" customFormat="1" ht="15.75" customHeight="1" x14ac:dyDescent="0.25"/>
    <row r="398" s="368" customFormat="1" ht="15.75" customHeight="1" x14ac:dyDescent="0.25"/>
    <row r="399" s="368" customFormat="1" ht="15.75" customHeight="1" x14ac:dyDescent="0.25"/>
    <row r="400" s="368" customFormat="1" ht="15.75" customHeight="1" x14ac:dyDescent="0.25"/>
    <row r="401" s="368" customFormat="1" ht="15.75" customHeight="1" x14ac:dyDescent="0.25"/>
    <row r="402" s="368" customFormat="1" ht="15.75" customHeight="1" x14ac:dyDescent="0.25"/>
    <row r="403" s="368" customFormat="1" ht="15.75" customHeight="1" x14ac:dyDescent="0.25"/>
    <row r="404" s="368" customFormat="1" ht="15.75" customHeight="1" x14ac:dyDescent="0.25"/>
    <row r="405" s="368" customFormat="1" ht="15.75" customHeight="1" x14ac:dyDescent="0.25"/>
    <row r="406" s="368" customFormat="1" ht="15.75" customHeight="1" x14ac:dyDescent="0.25"/>
    <row r="407" s="368" customFormat="1" ht="15.75" customHeight="1" x14ac:dyDescent="0.25"/>
    <row r="408" s="368" customFormat="1" ht="15.75" customHeight="1" x14ac:dyDescent="0.25"/>
    <row r="409" s="368" customFormat="1" ht="15.75" customHeight="1" x14ac:dyDescent="0.25"/>
    <row r="410" s="368" customFormat="1" ht="15.75" customHeight="1" x14ac:dyDescent="0.25"/>
    <row r="411" s="368" customFormat="1" ht="15.75" customHeight="1" x14ac:dyDescent="0.25"/>
    <row r="412" s="368" customFormat="1" ht="15.75" customHeight="1" x14ac:dyDescent="0.25"/>
    <row r="413" s="368" customFormat="1" ht="15.75" customHeight="1" x14ac:dyDescent="0.25"/>
    <row r="414" s="368" customFormat="1" ht="15.75" customHeight="1" x14ac:dyDescent="0.25"/>
    <row r="415" s="368" customFormat="1" ht="15.75" customHeight="1" x14ac:dyDescent="0.25"/>
    <row r="416" s="368" customFormat="1" ht="15.75" customHeight="1" x14ac:dyDescent="0.25"/>
    <row r="417" s="368" customFormat="1" ht="15.75" customHeight="1" x14ac:dyDescent="0.25"/>
    <row r="418" s="368" customFormat="1" ht="15.75" customHeight="1" x14ac:dyDescent="0.25"/>
    <row r="419" s="368" customFormat="1" ht="15.75" customHeight="1" x14ac:dyDescent="0.25"/>
    <row r="420" s="368" customFormat="1" ht="15.75" customHeight="1" x14ac:dyDescent="0.25"/>
    <row r="421" s="368" customFormat="1" ht="15.75" customHeight="1" x14ac:dyDescent="0.25"/>
    <row r="422" s="368" customFormat="1" ht="15.75" customHeight="1" x14ac:dyDescent="0.25"/>
    <row r="423" s="368" customFormat="1" ht="15.75" customHeight="1" x14ac:dyDescent="0.25"/>
    <row r="424" s="368" customFormat="1" ht="15.75" customHeight="1" x14ac:dyDescent="0.25"/>
    <row r="425" s="368" customFormat="1" ht="15.75" customHeight="1" x14ac:dyDescent="0.25"/>
    <row r="426" s="368" customFormat="1" ht="15.75" customHeight="1" x14ac:dyDescent="0.25"/>
    <row r="427" s="368" customFormat="1" ht="15.75" customHeight="1" x14ac:dyDescent="0.25"/>
    <row r="428" s="368" customFormat="1" ht="15.75" customHeight="1" x14ac:dyDescent="0.25"/>
    <row r="429" s="368" customFormat="1" ht="15.75" customHeight="1" x14ac:dyDescent="0.25"/>
    <row r="430" s="368" customFormat="1" ht="15.75" customHeight="1" x14ac:dyDescent="0.25"/>
    <row r="431" s="368" customFormat="1" ht="15.75" customHeight="1" x14ac:dyDescent="0.25"/>
    <row r="432" s="368" customFormat="1" ht="15.75" customHeight="1" x14ac:dyDescent="0.25"/>
    <row r="433" s="368" customFormat="1" ht="15.75" customHeight="1" x14ac:dyDescent="0.25"/>
    <row r="434" s="368" customFormat="1" ht="15.75" customHeight="1" x14ac:dyDescent="0.25"/>
    <row r="435" s="368" customFormat="1" ht="15.75" customHeight="1" x14ac:dyDescent="0.25"/>
    <row r="436" s="368" customFormat="1" ht="15.75" customHeight="1" x14ac:dyDescent="0.25"/>
    <row r="437" s="368" customFormat="1" ht="15.75" customHeight="1" x14ac:dyDescent="0.25"/>
    <row r="438" s="368" customFormat="1" ht="15.75" customHeight="1" x14ac:dyDescent="0.25"/>
    <row r="439" s="368" customFormat="1" ht="15.75" customHeight="1" x14ac:dyDescent="0.25"/>
    <row r="440" s="368" customFormat="1" ht="15.75" customHeight="1" x14ac:dyDescent="0.25"/>
    <row r="441" s="368" customFormat="1" ht="15.75" customHeight="1" x14ac:dyDescent="0.25"/>
    <row r="442" s="368" customFormat="1" ht="15.75" customHeight="1" x14ac:dyDescent="0.25"/>
    <row r="443" s="368" customFormat="1" ht="15.75" customHeight="1" x14ac:dyDescent="0.25"/>
    <row r="444" s="368" customFormat="1" ht="15.75" customHeight="1" x14ac:dyDescent="0.25"/>
    <row r="445" s="368" customFormat="1" ht="15.75" customHeight="1" x14ac:dyDescent="0.25"/>
    <row r="446" s="368" customFormat="1" ht="15.75" customHeight="1" x14ac:dyDescent="0.25"/>
    <row r="447" s="368" customFormat="1" ht="15.75" customHeight="1" x14ac:dyDescent="0.25"/>
    <row r="448" s="368" customFormat="1" ht="15.75" customHeight="1" x14ac:dyDescent="0.25"/>
    <row r="449" s="368" customFormat="1" ht="15.75" customHeight="1" x14ac:dyDescent="0.25"/>
    <row r="450" s="368" customFormat="1" ht="15.75" customHeight="1" x14ac:dyDescent="0.25"/>
    <row r="451" s="368" customFormat="1" ht="15.75" customHeight="1" x14ac:dyDescent="0.25"/>
    <row r="452" s="368" customFormat="1" ht="15.75" customHeight="1" x14ac:dyDescent="0.25"/>
    <row r="453" s="368" customFormat="1" ht="15.75" customHeight="1" x14ac:dyDescent="0.25"/>
    <row r="454" s="368" customFormat="1" ht="15.75" customHeight="1" x14ac:dyDescent="0.25"/>
    <row r="455" s="368" customFormat="1" ht="15.75" customHeight="1" x14ac:dyDescent="0.25"/>
    <row r="456" s="368" customFormat="1" ht="15.75" customHeight="1" x14ac:dyDescent="0.25"/>
    <row r="457" s="368" customFormat="1" ht="15.75" customHeight="1" x14ac:dyDescent="0.25"/>
    <row r="458" s="368" customFormat="1" ht="15.75" customHeight="1" x14ac:dyDescent="0.25"/>
    <row r="459" s="368" customFormat="1" ht="15.75" customHeight="1" x14ac:dyDescent="0.25"/>
    <row r="460" s="368" customFormat="1" ht="15.75" customHeight="1" x14ac:dyDescent="0.25"/>
    <row r="461" s="368" customFormat="1" ht="15.75" customHeight="1" x14ac:dyDescent="0.25"/>
    <row r="462" s="368" customFormat="1" ht="15.75" customHeight="1" x14ac:dyDescent="0.25"/>
    <row r="463" s="368" customFormat="1" ht="15.75" customHeight="1" x14ac:dyDescent="0.25"/>
    <row r="464" s="368" customFormat="1" ht="15.75" customHeight="1" x14ac:dyDescent="0.25"/>
    <row r="465" s="368" customFormat="1" ht="15.75" customHeight="1" x14ac:dyDescent="0.25"/>
    <row r="466" s="368" customFormat="1" ht="15.75" customHeight="1" x14ac:dyDescent="0.25"/>
    <row r="467" s="368" customFormat="1" ht="15.75" customHeight="1" x14ac:dyDescent="0.25"/>
    <row r="468" s="368" customFormat="1" ht="15.75" customHeight="1" x14ac:dyDescent="0.25"/>
    <row r="469" s="368" customFormat="1" ht="15.75" customHeight="1" x14ac:dyDescent="0.25"/>
    <row r="470" s="368" customFormat="1" ht="15.75" customHeight="1" x14ac:dyDescent="0.25"/>
    <row r="471" s="368" customFormat="1" ht="15.75" customHeight="1" x14ac:dyDescent="0.25"/>
    <row r="472" s="368" customFormat="1" ht="15.75" customHeight="1" x14ac:dyDescent="0.25"/>
    <row r="473" s="368" customFormat="1" ht="15.75" customHeight="1" x14ac:dyDescent="0.25"/>
    <row r="474" s="368" customFormat="1" ht="15.75" customHeight="1" x14ac:dyDescent="0.25"/>
    <row r="475" s="368" customFormat="1" ht="15.75" customHeight="1" x14ac:dyDescent="0.25"/>
    <row r="476" s="368" customFormat="1" ht="15.75" customHeight="1" x14ac:dyDescent="0.25"/>
    <row r="477" s="368" customFormat="1" ht="15.75" customHeight="1" x14ac:dyDescent="0.25"/>
    <row r="478" s="368" customFormat="1" ht="15.75" customHeight="1" x14ac:dyDescent="0.25"/>
    <row r="479" s="368" customFormat="1" ht="15.75" customHeight="1" x14ac:dyDescent="0.25"/>
    <row r="480" s="368" customFormat="1" ht="15.75" customHeight="1" x14ac:dyDescent="0.25"/>
    <row r="481" s="368" customFormat="1" ht="15.75" customHeight="1" x14ac:dyDescent="0.25"/>
    <row r="482" s="368" customFormat="1" ht="15.75" customHeight="1" x14ac:dyDescent="0.25"/>
    <row r="483" s="368" customFormat="1" ht="15.75" customHeight="1" x14ac:dyDescent="0.25"/>
    <row r="484" s="368" customFormat="1" ht="15.75" customHeight="1" x14ac:dyDescent="0.25"/>
    <row r="485" s="368" customFormat="1" ht="15.75" customHeight="1" x14ac:dyDescent="0.25"/>
    <row r="486" s="368" customFormat="1" ht="15.75" customHeight="1" x14ac:dyDescent="0.25"/>
    <row r="487" s="368" customFormat="1" ht="15.75" customHeight="1" x14ac:dyDescent="0.25"/>
    <row r="488" s="368" customFormat="1" ht="15.75" customHeight="1" x14ac:dyDescent="0.25"/>
    <row r="489" s="368" customFormat="1" ht="15.75" customHeight="1" x14ac:dyDescent="0.25"/>
    <row r="490" s="368" customFormat="1" ht="15.75" customHeight="1" x14ac:dyDescent="0.25"/>
    <row r="491" s="368" customFormat="1" ht="15.75" customHeight="1" x14ac:dyDescent="0.25"/>
    <row r="492" s="368" customFormat="1" ht="15.75" customHeight="1" x14ac:dyDescent="0.25"/>
    <row r="493" s="368" customFormat="1" ht="15.75" customHeight="1" x14ac:dyDescent="0.25"/>
    <row r="494" s="368" customFormat="1" ht="15.75" customHeight="1" x14ac:dyDescent="0.25"/>
    <row r="495" s="368" customFormat="1" ht="15.75" customHeight="1" x14ac:dyDescent="0.25"/>
    <row r="496" s="368" customFormat="1" ht="15.75" customHeight="1" x14ac:dyDescent="0.25"/>
    <row r="497" s="368" customFormat="1" ht="15.75" customHeight="1" x14ac:dyDescent="0.25"/>
    <row r="498" s="368" customFormat="1" ht="15.75" customHeight="1" x14ac:dyDescent="0.25"/>
    <row r="499" s="368" customFormat="1" ht="15.75" customHeight="1" x14ac:dyDescent="0.25"/>
    <row r="500" s="368" customFormat="1" ht="15.75" customHeight="1" x14ac:dyDescent="0.25"/>
    <row r="501" s="368" customFormat="1" ht="15.75" customHeight="1" x14ac:dyDescent="0.25"/>
    <row r="502" s="368" customFormat="1" ht="15.75" customHeight="1" x14ac:dyDescent="0.25"/>
    <row r="503" s="368" customFormat="1" ht="15.75" customHeight="1" x14ac:dyDescent="0.25"/>
    <row r="504" s="368" customFormat="1" ht="15.75" customHeight="1" x14ac:dyDescent="0.25"/>
    <row r="505" s="368" customFormat="1" ht="15.75" customHeight="1" x14ac:dyDescent="0.25"/>
    <row r="506" s="368" customFormat="1" ht="15.75" customHeight="1" x14ac:dyDescent="0.25"/>
    <row r="507" s="368" customFormat="1" ht="15.75" customHeight="1" x14ac:dyDescent="0.25"/>
    <row r="508" s="368" customFormat="1" ht="15.75" customHeight="1" x14ac:dyDescent="0.25"/>
    <row r="509" s="368" customFormat="1" ht="15.75" customHeight="1" x14ac:dyDescent="0.25"/>
    <row r="510" s="368" customFormat="1" ht="15.75" customHeight="1" x14ac:dyDescent="0.25"/>
    <row r="511" s="368" customFormat="1" ht="15.75" customHeight="1" x14ac:dyDescent="0.25"/>
    <row r="512" s="368" customFormat="1" ht="15.75" customHeight="1" x14ac:dyDescent="0.25"/>
    <row r="513" s="368" customFormat="1" ht="15.75" customHeight="1" x14ac:dyDescent="0.25"/>
    <row r="514" s="368" customFormat="1" ht="15.75" customHeight="1" x14ac:dyDescent="0.25"/>
    <row r="515" s="368" customFormat="1" ht="15.75" customHeight="1" x14ac:dyDescent="0.25"/>
    <row r="516" s="368" customFormat="1" ht="15.75" customHeight="1" x14ac:dyDescent="0.25"/>
    <row r="517" s="368" customFormat="1" ht="15.75" customHeight="1" x14ac:dyDescent="0.25"/>
    <row r="518" s="368" customFormat="1" ht="15.75" customHeight="1" x14ac:dyDescent="0.25"/>
    <row r="519" s="368" customFormat="1" ht="15.75" customHeight="1" x14ac:dyDescent="0.25"/>
    <row r="520" s="368" customFormat="1" ht="15.75" customHeight="1" x14ac:dyDescent="0.25"/>
    <row r="521" s="368" customFormat="1" ht="15.75" customHeight="1" x14ac:dyDescent="0.25"/>
    <row r="522" s="368" customFormat="1" ht="15.75" customHeight="1" x14ac:dyDescent="0.25"/>
    <row r="523" s="368" customFormat="1" ht="15.75" customHeight="1" x14ac:dyDescent="0.25"/>
    <row r="524" s="368" customFormat="1" ht="15.75" customHeight="1" x14ac:dyDescent="0.25"/>
    <row r="525" s="368" customFormat="1" ht="15.75" customHeight="1" x14ac:dyDescent="0.25"/>
    <row r="526" s="368" customFormat="1" ht="15.75" customHeight="1" x14ac:dyDescent="0.25"/>
    <row r="527" s="368" customFormat="1" ht="15.75" customHeight="1" x14ac:dyDescent="0.25"/>
    <row r="528" s="368" customFormat="1" ht="15.75" customHeight="1" x14ac:dyDescent="0.25"/>
    <row r="529" s="368" customFormat="1" ht="15.75" customHeight="1" x14ac:dyDescent="0.25"/>
    <row r="530" s="368" customFormat="1" ht="15.75" customHeight="1" x14ac:dyDescent="0.25"/>
    <row r="531" s="368" customFormat="1" ht="15.75" customHeight="1" x14ac:dyDescent="0.25"/>
    <row r="532" s="368" customFormat="1" ht="15.75" customHeight="1" x14ac:dyDescent="0.25"/>
    <row r="533" s="368" customFormat="1" ht="15.75" customHeight="1" x14ac:dyDescent="0.25"/>
    <row r="534" s="368" customFormat="1" ht="15.75" customHeight="1" x14ac:dyDescent="0.25"/>
    <row r="535" s="368" customFormat="1" ht="15.75" customHeight="1" x14ac:dyDescent="0.25"/>
    <row r="536" s="368" customFormat="1" ht="15.75" customHeight="1" x14ac:dyDescent="0.25"/>
    <row r="537" s="368" customFormat="1" ht="15.75" customHeight="1" x14ac:dyDescent="0.25"/>
    <row r="538" s="368" customFormat="1" ht="15.75" customHeight="1" x14ac:dyDescent="0.25"/>
    <row r="539" s="368" customFormat="1" ht="15.75" customHeight="1" x14ac:dyDescent="0.25"/>
    <row r="540" s="368" customFormat="1" ht="15.75" customHeight="1" x14ac:dyDescent="0.25"/>
    <row r="541" s="368" customFormat="1" ht="15.75" customHeight="1" x14ac:dyDescent="0.25"/>
    <row r="542" s="368" customFormat="1" ht="15.75" customHeight="1" x14ac:dyDescent="0.25"/>
    <row r="543" s="368" customFormat="1" ht="15.75" customHeight="1" x14ac:dyDescent="0.25"/>
    <row r="544" s="368" customFormat="1" ht="15.75" customHeight="1" x14ac:dyDescent="0.25"/>
    <row r="545" s="368" customFormat="1" ht="15.75" customHeight="1" x14ac:dyDescent="0.25"/>
    <row r="546" s="368" customFormat="1" ht="15.75" customHeight="1" x14ac:dyDescent="0.25"/>
    <row r="547" s="368" customFormat="1" ht="15.75" customHeight="1" x14ac:dyDescent="0.25"/>
    <row r="548" s="368" customFormat="1" ht="15.75" customHeight="1" x14ac:dyDescent="0.25"/>
    <row r="549" s="368" customFormat="1" ht="15.75" customHeight="1" x14ac:dyDescent="0.25"/>
    <row r="550" s="368" customFormat="1" ht="15.75" customHeight="1" x14ac:dyDescent="0.25"/>
    <row r="551" s="368" customFormat="1" ht="15.75" customHeight="1" x14ac:dyDescent="0.25"/>
    <row r="552" s="368" customFormat="1" ht="15.75" customHeight="1" x14ac:dyDescent="0.25"/>
    <row r="553" s="368" customFormat="1" ht="15.75" customHeight="1" x14ac:dyDescent="0.25"/>
    <row r="554" s="368" customFormat="1" ht="15.75" customHeight="1" x14ac:dyDescent="0.25"/>
    <row r="555" s="368" customFormat="1" ht="15.75" customHeight="1" x14ac:dyDescent="0.25"/>
    <row r="556" s="368" customFormat="1" ht="15.75" customHeight="1" x14ac:dyDescent="0.25"/>
    <row r="557" s="368" customFormat="1" ht="15.75" customHeight="1" x14ac:dyDescent="0.25"/>
    <row r="558" s="368" customFormat="1" ht="15.75" customHeight="1" x14ac:dyDescent="0.25"/>
    <row r="559" s="368" customFormat="1" ht="15.75" customHeight="1" x14ac:dyDescent="0.25"/>
    <row r="560" s="368" customFormat="1" ht="15.75" customHeight="1" x14ac:dyDescent="0.25"/>
    <row r="561" s="368" customFormat="1" ht="15.75" customHeight="1" x14ac:dyDescent="0.25"/>
    <row r="562" s="368" customFormat="1" ht="15.75" customHeight="1" x14ac:dyDescent="0.25"/>
    <row r="563" s="368" customFormat="1" ht="15.75" customHeight="1" x14ac:dyDescent="0.25"/>
    <row r="564" s="368" customFormat="1" ht="15.75" customHeight="1" x14ac:dyDescent="0.25"/>
    <row r="565" s="368" customFormat="1" ht="15.75" customHeight="1" x14ac:dyDescent="0.25"/>
    <row r="566" s="368" customFormat="1" ht="15.75" customHeight="1" x14ac:dyDescent="0.25"/>
    <row r="567" s="368" customFormat="1" ht="15.75" customHeight="1" x14ac:dyDescent="0.25"/>
    <row r="568" s="368" customFormat="1" ht="15.75" customHeight="1" x14ac:dyDescent="0.25"/>
    <row r="569" s="368" customFormat="1" ht="15.75" customHeight="1" x14ac:dyDescent="0.25"/>
    <row r="570" s="368" customFormat="1" ht="15.75" customHeight="1" x14ac:dyDescent="0.25"/>
    <row r="571" s="368" customFormat="1" ht="15.75" customHeight="1" x14ac:dyDescent="0.25"/>
    <row r="572" s="368" customFormat="1" ht="15.75" customHeight="1" x14ac:dyDescent="0.25"/>
    <row r="573" s="368" customFormat="1" ht="15.75" customHeight="1" x14ac:dyDescent="0.25"/>
    <row r="574" s="368" customFormat="1" ht="15.75" customHeight="1" x14ac:dyDescent="0.25"/>
    <row r="575" s="368" customFormat="1" ht="15.75" customHeight="1" x14ac:dyDescent="0.25"/>
    <row r="576" s="368" customFormat="1" ht="15.75" customHeight="1" x14ac:dyDescent="0.25"/>
    <row r="577" s="368" customFormat="1" ht="15.75" customHeight="1" x14ac:dyDescent="0.25"/>
    <row r="578" s="368" customFormat="1" ht="15.75" customHeight="1" x14ac:dyDescent="0.25"/>
    <row r="579" s="368" customFormat="1" ht="15.75" customHeight="1" x14ac:dyDescent="0.25"/>
    <row r="580" s="368" customFormat="1" ht="15.75" customHeight="1" x14ac:dyDescent="0.25"/>
    <row r="581" s="368" customFormat="1" ht="15.75" customHeight="1" x14ac:dyDescent="0.25"/>
    <row r="582" s="368" customFormat="1" ht="15.75" customHeight="1" x14ac:dyDescent="0.25"/>
    <row r="583" s="368" customFormat="1" ht="15.75" customHeight="1" x14ac:dyDescent="0.25"/>
    <row r="584" s="368" customFormat="1" ht="15.75" customHeight="1" x14ac:dyDescent="0.25"/>
    <row r="585" s="368" customFormat="1" ht="15.75" customHeight="1" x14ac:dyDescent="0.25"/>
    <row r="586" s="368" customFormat="1" ht="15.75" customHeight="1" x14ac:dyDescent="0.25"/>
    <row r="587" s="368" customFormat="1" ht="15.75" customHeight="1" x14ac:dyDescent="0.25"/>
    <row r="588" s="368" customFormat="1" ht="15.75" customHeight="1" x14ac:dyDescent="0.25"/>
    <row r="589" s="368" customFormat="1" ht="15.75" customHeight="1" x14ac:dyDescent="0.25"/>
    <row r="590" s="368" customFormat="1" ht="15.75" customHeight="1" x14ac:dyDescent="0.25"/>
    <row r="591" s="368" customFormat="1" ht="15.75" customHeight="1" x14ac:dyDescent="0.25"/>
    <row r="592" s="368" customFormat="1" ht="15.75" customHeight="1" x14ac:dyDescent="0.25"/>
    <row r="593" s="368" customFormat="1" ht="15.75" customHeight="1" x14ac:dyDescent="0.25"/>
    <row r="594" s="368" customFormat="1" ht="15.75" customHeight="1" x14ac:dyDescent="0.25"/>
    <row r="595" s="368" customFormat="1" ht="15.75" customHeight="1" x14ac:dyDescent="0.25"/>
    <row r="596" s="368" customFormat="1" ht="15.75" customHeight="1" x14ac:dyDescent="0.25"/>
    <row r="597" s="368" customFormat="1" ht="15.75" customHeight="1" x14ac:dyDescent="0.25"/>
    <row r="598" s="368" customFormat="1" ht="15.75" customHeight="1" x14ac:dyDescent="0.25"/>
    <row r="599" s="368" customFormat="1" ht="15.75" customHeight="1" x14ac:dyDescent="0.25"/>
    <row r="600" s="368" customFormat="1" ht="15.75" customHeight="1" x14ac:dyDescent="0.25"/>
    <row r="601" s="368" customFormat="1" ht="15.75" customHeight="1" x14ac:dyDescent="0.25"/>
    <row r="602" s="368" customFormat="1" ht="15.75" customHeight="1" x14ac:dyDescent="0.25"/>
    <row r="603" s="368" customFormat="1" ht="15.75" customHeight="1" x14ac:dyDescent="0.25"/>
    <row r="604" s="368" customFormat="1" ht="15.75" customHeight="1" x14ac:dyDescent="0.25"/>
    <row r="605" s="368" customFormat="1" ht="15.75" customHeight="1" x14ac:dyDescent="0.25"/>
    <row r="606" s="368" customFormat="1" ht="15.75" customHeight="1" x14ac:dyDescent="0.25"/>
    <row r="607" s="368" customFormat="1" ht="15.75" customHeight="1" x14ac:dyDescent="0.25"/>
    <row r="608" s="368" customFormat="1" ht="15.75" customHeight="1" x14ac:dyDescent="0.25"/>
    <row r="609" s="368" customFormat="1" ht="15.75" customHeight="1" x14ac:dyDescent="0.25"/>
    <row r="610" s="368" customFormat="1" ht="15.75" customHeight="1" x14ac:dyDescent="0.25"/>
    <row r="611" s="368" customFormat="1" ht="15.75" customHeight="1" x14ac:dyDescent="0.25"/>
    <row r="612" s="368" customFormat="1" ht="15.75" customHeight="1" x14ac:dyDescent="0.25"/>
    <row r="613" s="368" customFormat="1" ht="15.75" customHeight="1" x14ac:dyDescent="0.25"/>
    <row r="614" s="368" customFormat="1" ht="15.75" customHeight="1" x14ac:dyDescent="0.25"/>
    <row r="615" s="368" customFormat="1" ht="15.75" customHeight="1" x14ac:dyDescent="0.25"/>
    <row r="616" s="368" customFormat="1" ht="15.75" customHeight="1" x14ac:dyDescent="0.25"/>
    <row r="617" s="368" customFormat="1" ht="15.75" customHeight="1" x14ac:dyDescent="0.25"/>
    <row r="618" s="368" customFormat="1" ht="15.75" customHeight="1" x14ac:dyDescent="0.25"/>
    <row r="619" s="368" customFormat="1" ht="15.75" customHeight="1" x14ac:dyDescent="0.25"/>
    <row r="620" s="368" customFormat="1" ht="15.75" customHeight="1" x14ac:dyDescent="0.25"/>
    <row r="621" s="368" customFormat="1" ht="15.75" customHeight="1" x14ac:dyDescent="0.25"/>
    <row r="622" s="368" customFormat="1" ht="15.75" customHeight="1" x14ac:dyDescent="0.25"/>
    <row r="623" s="368" customFormat="1" ht="15.75" customHeight="1" x14ac:dyDescent="0.25"/>
    <row r="624" s="368" customFormat="1" ht="15.75" customHeight="1" x14ac:dyDescent="0.25"/>
    <row r="625" s="368" customFormat="1" ht="15.75" customHeight="1" x14ac:dyDescent="0.25"/>
    <row r="626" s="368" customFormat="1" ht="15.75" customHeight="1" x14ac:dyDescent="0.25"/>
    <row r="627" s="368" customFormat="1" ht="15.75" customHeight="1" x14ac:dyDescent="0.25"/>
    <row r="628" s="368" customFormat="1" ht="15.75" customHeight="1" x14ac:dyDescent="0.25"/>
    <row r="629" s="368" customFormat="1" ht="15.75" customHeight="1" x14ac:dyDescent="0.25"/>
    <row r="630" s="368" customFormat="1" ht="15.75" customHeight="1" x14ac:dyDescent="0.25"/>
    <row r="631" s="368" customFormat="1" ht="15.75" customHeight="1" x14ac:dyDescent="0.25"/>
    <row r="632" s="368" customFormat="1" ht="15.75" customHeight="1" x14ac:dyDescent="0.25"/>
    <row r="633" s="368" customFormat="1" ht="15.75" customHeight="1" x14ac:dyDescent="0.25"/>
    <row r="634" s="368" customFormat="1" ht="15.75" customHeight="1" x14ac:dyDescent="0.25"/>
    <row r="635" s="368" customFormat="1" ht="15.75" customHeight="1" x14ac:dyDescent="0.25"/>
    <row r="636" s="368" customFormat="1" ht="15.75" customHeight="1" x14ac:dyDescent="0.25"/>
    <row r="637" s="368" customFormat="1" ht="15.75" customHeight="1" x14ac:dyDescent="0.25"/>
    <row r="638" s="368" customFormat="1" ht="15.75" customHeight="1" x14ac:dyDescent="0.25"/>
    <row r="639" s="368" customFormat="1" ht="15.75" customHeight="1" x14ac:dyDescent="0.25"/>
    <row r="640" s="368" customFormat="1" ht="15.75" customHeight="1" x14ac:dyDescent="0.25"/>
    <row r="641" s="368" customFormat="1" ht="15.75" customHeight="1" x14ac:dyDescent="0.25"/>
    <row r="642" s="368" customFormat="1" ht="15.75" customHeight="1" x14ac:dyDescent="0.25"/>
    <row r="643" s="368" customFormat="1" ht="15.75" customHeight="1" x14ac:dyDescent="0.25"/>
    <row r="644" s="368" customFormat="1" ht="15.75" customHeight="1" x14ac:dyDescent="0.25"/>
    <row r="645" s="368" customFormat="1" ht="15.75" customHeight="1" x14ac:dyDescent="0.25"/>
    <row r="646" s="368" customFormat="1" ht="15.75" customHeight="1" x14ac:dyDescent="0.25"/>
    <row r="647" s="368" customFormat="1" ht="15.75" customHeight="1" x14ac:dyDescent="0.25"/>
    <row r="648" s="368" customFormat="1" ht="15.75" customHeight="1" x14ac:dyDescent="0.25"/>
    <row r="649" s="368" customFormat="1" ht="15.75" customHeight="1" x14ac:dyDescent="0.25"/>
    <row r="650" s="368" customFormat="1" ht="15.75" customHeight="1" x14ac:dyDescent="0.25"/>
    <row r="651" s="368" customFormat="1" ht="15.75" customHeight="1" x14ac:dyDescent="0.25"/>
    <row r="652" s="368" customFormat="1" ht="15.75" customHeight="1" x14ac:dyDescent="0.25"/>
    <row r="653" s="368" customFormat="1" ht="15.75" customHeight="1" x14ac:dyDescent="0.25"/>
    <row r="654" s="368" customFormat="1" ht="15.75" customHeight="1" x14ac:dyDescent="0.25"/>
    <row r="655" s="368" customFormat="1" ht="15.75" customHeight="1" x14ac:dyDescent="0.25"/>
    <row r="656" s="368" customFormat="1" ht="15.75" customHeight="1" x14ac:dyDescent="0.25"/>
    <row r="657" s="368" customFormat="1" ht="15.75" customHeight="1" x14ac:dyDescent="0.25"/>
    <row r="658" s="368" customFormat="1" ht="15.75" customHeight="1" x14ac:dyDescent="0.25"/>
    <row r="659" s="368" customFormat="1" ht="15.75" customHeight="1" x14ac:dyDescent="0.25"/>
    <row r="660" s="368" customFormat="1" ht="15.75" customHeight="1" x14ac:dyDescent="0.25"/>
    <row r="661" s="368" customFormat="1" ht="15.75" customHeight="1" x14ac:dyDescent="0.25"/>
    <row r="662" s="368" customFormat="1" ht="15.75" customHeight="1" x14ac:dyDescent="0.25"/>
    <row r="663" s="368" customFormat="1" ht="15.75" customHeight="1" x14ac:dyDescent="0.25"/>
    <row r="664" s="368" customFormat="1" ht="15.75" customHeight="1" x14ac:dyDescent="0.25"/>
    <row r="665" s="368" customFormat="1" ht="15.75" customHeight="1" x14ac:dyDescent="0.25"/>
    <row r="666" s="368" customFormat="1" ht="15.75" customHeight="1" x14ac:dyDescent="0.25"/>
    <row r="667" s="368" customFormat="1" ht="15.75" customHeight="1" x14ac:dyDescent="0.25"/>
    <row r="668" s="368" customFormat="1" ht="15.75" customHeight="1" x14ac:dyDescent="0.25"/>
    <row r="669" s="368" customFormat="1" ht="15.75" customHeight="1" x14ac:dyDescent="0.25"/>
    <row r="670" s="368" customFormat="1" ht="15.75" customHeight="1" x14ac:dyDescent="0.25"/>
    <row r="671" s="368" customFormat="1" ht="15.75" customHeight="1" x14ac:dyDescent="0.25"/>
    <row r="672" s="368" customFormat="1" ht="15.75" customHeight="1" x14ac:dyDescent="0.25"/>
    <row r="673" s="368" customFormat="1" ht="15.75" customHeight="1" x14ac:dyDescent="0.25"/>
    <row r="674" s="368" customFormat="1" ht="15.75" customHeight="1" x14ac:dyDescent="0.25"/>
    <row r="675" s="368" customFormat="1" ht="15.75" customHeight="1" x14ac:dyDescent="0.25"/>
    <row r="676" s="368" customFormat="1" ht="15.75" customHeight="1" x14ac:dyDescent="0.25"/>
    <row r="677" s="368" customFormat="1" ht="15.75" customHeight="1" x14ac:dyDescent="0.25"/>
    <row r="678" s="368" customFormat="1" ht="15.75" customHeight="1" x14ac:dyDescent="0.25"/>
    <row r="679" s="368" customFormat="1" ht="15.75" customHeight="1" x14ac:dyDescent="0.25"/>
    <row r="680" s="368" customFormat="1" ht="15.75" customHeight="1" x14ac:dyDescent="0.25"/>
    <row r="681" s="368" customFormat="1" ht="15.75" customHeight="1" x14ac:dyDescent="0.25"/>
    <row r="682" s="368" customFormat="1" ht="15.75" customHeight="1" x14ac:dyDescent="0.25"/>
    <row r="683" s="368" customFormat="1" ht="15.75" customHeight="1" x14ac:dyDescent="0.25"/>
    <row r="684" s="368" customFormat="1" ht="15.75" customHeight="1" x14ac:dyDescent="0.25"/>
    <row r="685" s="368" customFormat="1" ht="15.75" customHeight="1" x14ac:dyDescent="0.25"/>
    <row r="686" s="368" customFormat="1" ht="15.75" customHeight="1" x14ac:dyDescent="0.25"/>
    <row r="687" s="368" customFormat="1" ht="15.75" customHeight="1" x14ac:dyDescent="0.25"/>
    <row r="688" s="368" customFormat="1" ht="15.75" customHeight="1" x14ac:dyDescent="0.25"/>
    <row r="689" s="368" customFormat="1" ht="15.75" customHeight="1" x14ac:dyDescent="0.25"/>
    <row r="690" s="368" customFormat="1" ht="15.75" customHeight="1" x14ac:dyDescent="0.25"/>
    <row r="691" s="368" customFormat="1" ht="15.75" customHeight="1" x14ac:dyDescent="0.25"/>
    <row r="692" s="368" customFormat="1" ht="15.75" customHeight="1" x14ac:dyDescent="0.25"/>
    <row r="693" s="368" customFormat="1" ht="15.75" customHeight="1" x14ac:dyDescent="0.25"/>
    <row r="694" s="368" customFormat="1" ht="15.75" customHeight="1" x14ac:dyDescent="0.25"/>
    <row r="695" s="368" customFormat="1" ht="15.75" customHeight="1" x14ac:dyDescent="0.25"/>
    <row r="696" s="368" customFormat="1" ht="15.75" customHeight="1" x14ac:dyDescent="0.25"/>
    <row r="697" s="368" customFormat="1" ht="15.75" customHeight="1" x14ac:dyDescent="0.25"/>
    <row r="698" s="368" customFormat="1" ht="15.75" customHeight="1" x14ac:dyDescent="0.25"/>
    <row r="699" s="368" customFormat="1" ht="15.75" customHeight="1" x14ac:dyDescent="0.25"/>
    <row r="700" s="368" customFormat="1" ht="15.75" customHeight="1" x14ac:dyDescent="0.25"/>
    <row r="701" s="368" customFormat="1" ht="15.75" customHeight="1" x14ac:dyDescent="0.25"/>
    <row r="702" s="368" customFormat="1" ht="15.75" customHeight="1" x14ac:dyDescent="0.25"/>
    <row r="703" s="368" customFormat="1" ht="15.75" customHeight="1" x14ac:dyDescent="0.25"/>
    <row r="704" s="368" customFormat="1" ht="15.75" customHeight="1" x14ac:dyDescent="0.25"/>
    <row r="705" s="368" customFormat="1" ht="15.75" customHeight="1" x14ac:dyDescent="0.25"/>
    <row r="706" s="368" customFormat="1" ht="15.75" customHeight="1" x14ac:dyDescent="0.25"/>
    <row r="707" s="368" customFormat="1" ht="15.75" customHeight="1" x14ac:dyDescent="0.25"/>
    <row r="708" s="368" customFormat="1" ht="15.75" customHeight="1" x14ac:dyDescent="0.25"/>
    <row r="709" s="368" customFormat="1" ht="15.75" customHeight="1" x14ac:dyDescent="0.25"/>
    <row r="710" s="368" customFormat="1" ht="15.75" customHeight="1" x14ac:dyDescent="0.25"/>
    <row r="711" s="368" customFormat="1" ht="15.75" customHeight="1" x14ac:dyDescent="0.25"/>
    <row r="712" s="368" customFormat="1" ht="15.75" customHeight="1" x14ac:dyDescent="0.25"/>
    <row r="713" s="368" customFormat="1" ht="15.75" customHeight="1" x14ac:dyDescent="0.25"/>
    <row r="714" s="368" customFormat="1" ht="15.75" customHeight="1" x14ac:dyDescent="0.25"/>
    <row r="715" s="368" customFormat="1" ht="15.75" customHeight="1" x14ac:dyDescent="0.25"/>
    <row r="716" s="368" customFormat="1" ht="15.75" customHeight="1" x14ac:dyDescent="0.25"/>
    <row r="717" s="368" customFormat="1" ht="15.75" customHeight="1" x14ac:dyDescent="0.25"/>
    <row r="718" s="368" customFormat="1" ht="15.75" customHeight="1" x14ac:dyDescent="0.25"/>
    <row r="719" s="368" customFormat="1" ht="15.75" customHeight="1" x14ac:dyDescent="0.25"/>
    <row r="720" s="368" customFormat="1" ht="15.75" customHeight="1" x14ac:dyDescent="0.25"/>
    <row r="721" s="368" customFormat="1" ht="15.75" customHeight="1" x14ac:dyDescent="0.25"/>
    <row r="722" s="368" customFormat="1" ht="15.75" customHeight="1" x14ac:dyDescent="0.25"/>
    <row r="723" s="368" customFormat="1" ht="15.75" customHeight="1" x14ac:dyDescent="0.25"/>
    <row r="724" s="368" customFormat="1" ht="15.75" customHeight="1" x14ac:dyDescent="0.25"/>
    <row r="725" s="368" customFormat="1" ht="15.75" customHeight="1" x14ac:dyDescent="0.25"/>
    <row r="726" s="368" customFormat="1" ht="15.75" customHeight="1" x14ac:dyDescent="0.25"/>
    <row r="727" s="368" customFormat="1" ht="15.75" customHeight="1" x14ac:dyDescent="0.25"/>
    <row r="728" s="368" customFormat="1" ht="15.75" customHeight="1" x14ac:dyDescent="0.25"/>
    <row r="729" s="368" customFormat="1" ht="15.75" customHeight="1" x14ac:dyDescent="0.25"/>
    <row r="730" s="368" customFormat="1" ht="15.75" customHeight="1" x14ac:dyDescent="0.25"/>
    <row r="731" s="368" customFormat="1" ht="15.75" customHeight="1" x14ac:dyDescent="0.25"/>
    <row r="732" s="368" customFormat="1" ht="15.75" customHeight="1" x14ac:dyDescent="0.25"/>
    <row r="733" s="368" customFormat="1" ht="15.75" customHeight="1" x14ac:dyDescent="0.25"/>
    <row r="734" s="368" customFormat="1" ht="15.75" customHeight="1" x14ac:dyDescent="0.25"/>
    <row r="735" s="368" customFormat="1" ht="15.75" customHeight="1" x14ac:dyDescent="0.25"/>
    <row r="736" s="368" customFormat="1" ht="15.75" customHeight="1" x14ac:dyDescent="0.25"/>
    <row r="737" s="368" customFormat="1" ht="15.75" customHeight="1" x14ac:dyDescent="0.25"/>
    <row r="738" s="368" customFormat="1" ht="15.75" customHeight="1" x14ac:dyDescent="0.25"/>
    <row r="739" s="368" customFormat="1" ht="15.75" customHeight="1" x14ac:dyDescent="0.25"/>
    <row r="740" s="368" customFormat="1" ht="15.75" customHeight="1" x14ac:dyDescent="0.25"/>
    <row r="741" s="368" customFormat="1" ht="15.75" customHeight="1" x14ac:dyDescent="0.25"/>
    <row r="742" s="368" customFormat="1" ht="15.75" customHeight="1" x14ac:dyDescent="0.25"/>
    <row r="743" s="368" customFormat="1" ht="15.75" customHeight="1" x14ac:dyDescent="0.25"/>
    <row r="744" s="368" customFormat="1" ht="15.75" customHeight="1" x14ac:dyDescent="0.25"/>
    <row r="745" s="368" customFormat="1" ht="15.75" customHeight="1" x14ac:dyDescent="0.25"/>
    <row r="746" s="368" customFormat="1" ht="15.75" customHeight="1" x14ac:dyDescent="0.25"/>
    <row r="747" s="368" customFormat="1" ht="15.75" customHeight="1" x14ac:dyDescent="0.25"/>
    <row r="748" s="368" customFormat="1" ht="15.75" customHeight="1" x14ac:dyDescent="0.25"/>
    <row r="749" s="368" customFormat="1" ht="15.75" customHeight="1" x14ac:dyDescent="0.25"/>
    <row r="750" s="368" customFormat="1" ht="15.75" customHeight="1" x14ac:dyDescent="0.25"/>
    <row r="751" s="368" customFormat="1" ht="15.75" customHeight="1" x14ac:dyDescent="0.25"/>
    <row r="752" s="368" customFormat="1" ht="15.75" customHeight="1" x14ac:dyDescent="0.25"/>
    <row r="753" s="368" customFormat="1" ht="15.75" customHeight="1" x14ac:dyDescent="0.25"/>
    <row r="754" s="368" customFormat="1" ht="15.75" customHeight="1" x14ac:dyDescent="0.25"/>
    <row r="755" s="368" customFormat="1" ht="15.75" customHeight="1" x14ac:dyDescent="0.25"/>
    <row r="756" s="368" customFormat="1" ht="15.75" customHeight="1" x14ac:dyDescent="0.25"/>
    <row r="757" s="368" customFormat="1" ht="15.75" customHeight="1" x14ac:dyDescent="0.25"/>
    <row r="758" s="368" customFormat="1" ht="15.75" customHeight="1" x14ac:dyDescent="0.25"/>
    <row r="759" s="368" customFormat="1" ht="15.75" customHeight="1" x14ac:dyDescent="0.25"/>
    <row r="760" s="368" customFormat="1" ht="15.75" customHeight="1" x14ac:dyDescent="0.25"/>
    <row r="761" s="368" customFormat="1" ht="15.75" customHeight="1" x14ac:dyDescent="0.25"/>
    <row r="762" s="368" customFormat="1" ht="15.75" customHeight="1" x14ac:dyDescent="0.25"/>
    <row r="763" s="368" customFormat="1" ht="15.75" customHeight="1" x14ac:dyDescent="0.25"/>
    <row r="764" s="368" customFormat="1" ht="15.75" customHeight="1" x14ac:dyDescent="0.25"/>
    <row r="765" s="368" customFormat="1" ht="15.75" customHeight="1" x14ac:dyDescent="0.25"/>
    <row r="766" s="368" customFormat="1" ht="15.75" customHeight="1" x14ac:dyDescent="0.25"/>
    <row r="767" s="368" customFormat="1" ht="15.75" customHeight="1" x14ac:dyDescent="0.25"/>
    <row r="768" s="368" customFormat="1" ht="15.75" customHeight="1" x14ac:dyDescent="0.25"/>
    <row r="769" s="368" customFormat="1" ht="15.75" customHeight="1" x14ac:dyDescent="0.25"/>
    <row r="770" s="368" customFormat="1" ht="15.75" customHeight="1" x14ac:dyDescent="0.25"/>
    <row r="771" s="368" customFormat="1" ht="15.75" customHeight="1" x14ac:dyDescent="0.25"/>
    <row r="772" s="368" customFormat="1" ht="15.75" customHeight="1" x14ac:dyDescent="0.25"/>
    <row r="773" s="368" customFormat="1" ht="15.75" customHeight="1" x14ac:dyDescent="0.25"/>
    <row r="774" s="368" customFormat="1" ht="15.75" customHeight="1" x14ac:dyDescent="0.25"/>
    <row r="775" s="368" customFormat="1" ht="15.75" customHeight="1" x14ac:dyDescent="0.25"/>
    <row r="776" s="368" customFormat="1" ht="15.75" customHeight="1" x14ac:dyDescent="0.25"/>
    <row r="777" s="368" customFormat="1" ht="15.75" customHeight="1" x14ac:dyDescent="0.25"/>
    <row r="778" s="368" customFormat="1" ht="15.75" customHeight="1" x14ac:dyDescent="0.25"/>
    <row r="779" s="368" customFormat="1" ht="15.75" customHeight="1" x14ac:dyDescent="0.25"/>
    <row r="780" s="368" customFormat="1" ht="15.75" customHeight="1" x14ac:dyDescent="0.25"/>
    <row r="781" s="368" customFormat="1" ht="15.75" customHeight="1" x14ac:dyDescent="0.25"/>
    <row r="782" s="368" customFormat="1" ht="15.75" customHeight="1" x14ac:dyDescent="0.25"/>
    <row r="783" s="368" customFormat="1" ht="15.75" customHeight="1" x14ac:dyDescent="0.25"/>
    <row r="784" s="368" customFormat="1" ht="15.75" customHeight="1" x14ac:dyDescent="0.25"/>
    <row r="785" s="368" customFormat="1" ht="15.75" customHeight="1" x14ac:dyDescent="0.25"/>
    <row r="786" s="368" customFormat="1" ht="15.75" customHeight="1" x14ac:dyDescent="0.25"/>
    <row r="787" s="368" customFormat="1" ht="15.75" customHeight="1" x14ac:dyDescent="0.25"/>
    <row r="788" s="368" customFormat="1" ht="15.75" customHeight="1" x14ac:dyDescent="0.25"/>
    <row r="789" s="368" customFormat="1" ht="15.75" customHeight="1" x14ac:dyDescent="0.25"/>
    <row r="790" s="368" customFormat="1" ht="15.75" customHeight="1" x14ac:dyDescent="0.25"/>
    <row r="791" s="368" customFormat="1" ht="15.75" customHeight="1" x14ac:dyDescent="0.25"/>
    <row r="792" s="368" customFormat="1" ht="15.75" customHeight="1" x14ac:dyDescent="0.25"/>
    <row r="793" s="368" customFormat="1" ht="15.75" customHeight="1" x14ac:dyDescent="0.25"/>
    <row r="794" s="368" customFormat="1" ht="15.75" customHeight="1" x14ac:dyDescent="0.25"/>
    <row r="795" s="368" customFormat="1" ht="15.75" customHeight="1" x14ac:dyDescent="0.25"/>
    <row r="796" s="368" customFormat="1" ht="15.75" customHeight="1" x14ac:dyDescent="0.25"/>
    <row r="797" s="368" customFormat="1" ht="15.75" customHeight="1" x14ac:dyDescent="0.25"/>
    <row r="798" s="368" customFormat="1" ht="15.75" customHeight="1" x14ac:dyDescent="0.25"/>
    <row r="799" s="368" customFormat="1" ht="15.75" customHeight="1" x14ac:dyDescent="0.25"/>
    <row r="800" s="368" customFormat="1" ht="15.75" customHeight="1" x14ac:dyDescent="0.25"/>
    <row r="801" s="368" customFormat="1" ht="15.75" customHeight="1" x14ac:dyDescent="0.25"/>
    <row r="802" s="368" customFormat="1" ht="15.75" customHeight="1" x14ac:dyDescent="0.25"/>
    <row r="803" s="368" customFormat="1" ht="15.75" customHeight="1" x14ac:dyDescent="0.25"/>
    <row r="804" s="368" customFormat="1" ht="15.75" customHeight="1" x14ac:dyDescent="0.25"/>
    <row r="805" s="368" customFormat="1" ht="15.75" customHeight="1" x14ac:dyDescent="0.25"/>
    <row r="806" s="368" customFormat="1" ht="15.75" customHeight="1" x14ac:dyDescent="0.25"/>
    <row r="807" s="368" customFormat="1" ht="15.75" customHeight="1" x14ac:dyDescent="0.25"/>
    <row r="808" s="368" customFormat="1" ht="15.75" customHeight="1" x14ac:dyDescent="0.25"/>
    <row r="809" s="368" customFormat="1" ht="15.75" customHeight="1" x14ac:dyDescent="0.25"/>
    <row r="810" s="368" customFormat="1" ht="15.75" customHeight="1" x14ac:dyDescent="0.25"/>
    <row r="811" s="368" customFormat="1" ht="15.75" customHeight="1" x14ac:dyDescent="0.25"/>
    <row r="812" s="368" customFormat="1" ht="15.75" customHeight="1" x14ac:dyDescent="0.25"/>
    <row r="813" s="368" customFormat="1" ht="15.75" customHeight="1" x14ac:dyDescent="0.25"/>
    <row r="814" s="368" customFormat="1" ht="15.75" customHeight="1" x14ac:dyDescent="0.25"/>
    <row r="815" s="368" customFormat="1" ht="15.75" customHeight="1" x14ac:dyDescent="0.25"/>
    <row r="816" s="368" customFormat="1" ht="15.75" customHeight="1" x14ac:dyDescent="0.25"/>
    <row r="817" s="368" customFormat="1" ht="15.75" customHeight="1" x14ac:dyDescent="0.25"/>
    <row r="818" s="368" customFormat="1" ht="15.75" customHeight="1" x14ac:dyDescent="0.25"/>
    <row r="819" s="368" customFormat="1" ht="15.75" customHeight="1" x14ac:dyDescent="0.25"/>
    <row r="820" s="368" customFormat="1" ht="15.75" customHeight="1" x14ac:dyDescent="0.25"/>
    <row r="821" s="368" customFormat="1" ht="15.75" customHeight="1" x14ac:dyDescent="0.25"/>
    <row r="822" s="368" customFormat="1" ht="15.75" customHeight="1" x14ac:dyDescent="0.25"/>
    <row r="823" s="368" customFormat="1" ht="15.75" customHeight="1" x14ac:dyDescent="0.25"/>
    <row r="824" s="368" customFormat="1" ht="15.75" customHeight="1" x14ac:dyDescent="0.25"/>
    <row r="825" s="368" customFormat="1" ht="15.75" customHeight="1" x14ac:dyDescent="0.25"/>
    <row r="826" s="368" customFormat="1" ht="15.75" customHeight="1" x14ac:dyDescent="0.25"/>
    <row r="827" s="368" customFormat="1" ht="15.75" customHeight="1" x14ac:dyDescent="0.25"/>
    <row r="828" s="368" customFormat="1" ht="15.75" customHeight="1" x14ac:dyDescent="0.25"/>
    <row r="829" s="368" customFormat="1" ht="15.75" customHeight="1" x14ac:dyDescent="0.25"/>
    <row r="830" s="368" customFormat="1" ht="15.75" customHeight="1" x14ac:dyDescent="0.25"/>
    <row r="831" s="368" customFormat="1" ht="15.75" customHeight="1" x14ac:dyDescent="0.25"/>
    <row r="832" s="368" customFormat="1" ht="15.75" customHeight="1" x14ac:dyDescent="0.25"/>
    <row r="833" s="368" customFormat="1" ht="15.75" customHeight="1" x14ac:dyDescent="0.25"/>
    <row r="834" s="368" customFormat="1" ht="15.75" customHeight="1" x14ac:dyDescent="0.25"/>
    <row r="835" s="368" customFormat="1" ht="15.75" customHeight="1" x14ac:dyDescent="0.25"/>
    <row r="836" s="368" customFormat="1" ht="15.75" customHeight="1" x14ac:dyDescent="0.25"/>
    <row r="837" s="368" customFormat="1" ht="15.75" customHeight="1" x14ac:dyDescent="0.25"/>
    <row r="838" s="368" customFormat="1" ht="15.75" customHeight="1" x14ac:dyDescent="0.25"/>
    <row r="839" s="368" customFormat="1" ht="15.75" customHeight="1" x14ac:dyDescent="0.25"/>
    <row r="840" s="368" customFormat="1" ht="15.75" customHeight="1" x14ac:dyDescent="0.25"/>
    <row r="841" s="368" customFormat="1" ht="15.75" customHeight="1" x14ac:dyDescent="0.25"/>
    <row r="842" s="368" customFormat="1" ht="15.75" customHeight="1" x14ac:dyDescent="0.25"/>
    <row r="843" s="368" customFormat="1" ht="15.75" customHeight="1" x14ac:dyDescent="0.25"/>
    <row r="844" s="368" customFormat="1" ht="15.75" customHeight="1" x14ac:dyDescent="0.25"/>
    <row r="845" s="368" customFormat="1" ht="15.75" customHeight="1" x14ac:dyDescent="0.25"/>
    <row r="846" s="368" customFormat="1" ht="15.75" customHeight="1" x14ac:dyDescent="0.25"/>
    <row r="847" s="368" customFormat="1" ht="15.75" customHeight="1" x14ac:dyDescent="0.25"/>
    <row r="848" s="368" customFormat="1" ht="15.75" customHeight="1" x14ac:dyDescent="0.25"/>
    <row r="849" s="368" customFormat="1" ht="15.75" customHeight="1" x14ac:dyDescent="0.25"/>
    <row r="850" s="368" customFormat="1" ht="15.75" customHeight="1" x14ac:dyDescent="0.25"/>
    <row r="851" s="368" customFormat="1" ht="15.75" customHeight="1" x14ac:dyDescent="0.25"/>
    <row r="852" s="368" customFormat="1" ht="15.75" customHeight="1" x14ac:dyDescent="0.25"/>
    <row r="853" s="368" customFormat="1" ht="15.75" customHeight="1" x14ac:dyDescent="0.25"/>
    <row r="854" s="368" customFormat="1" ht="15.75" customHeight="1" x14ac:dyDescent="0.25"/>
    <row r="855" s="368" customFormat="1" ht="15.75" customHeight="1" x14ac:dyDescent="0.25"/>
    <row r="856" s="368" customFormat="1" ht="15.75" customHeight="1" x14ac:dyDescent="0.25"/>
    <row r="857" s="368" customFormat="1" ht="15.75" customHeight="1" x14ac:dyDescent="0.25"/>
    <row r="858" s="368" customFormat="1" ht="15.75" customHeight="1" x14ac:dyDescent="0.25"/>
    <row r="859" s="368" customFormat="1" ht="15.75" customHeight="1" x14ac:dyDescent="0.25"/>
    <row r="860" s="368" customFormat="1" ht="15.75" customHeight="1" x14ac:dyDescent="0.25"/>
    <row r="861" s="368" customFormat="1" ht="15.75" customHeight="1" x14ac:dyDescent="0.25"/>
    <row r="862" s="368" customFormat="1" ht="15.75" customHeight="1" x14ac:dyDescent="0.25"/>
    <row r="863" s="368" customFormat="1" ht="15.75" customHeight="1" x14ac:dyDescent="0.25"/>
    <row r="864" s="368" customFormat="1" ht="15.75" customHeight="1" x14ac:dyDescent="0.25"/>
    <row r="865" s="368" customFormat="1" ht="15.75" customHeight="1" x14ac:dyDescent="0.25"/>
    <row r="866" s="368" customFormat="1" ht="15.75" customHeight="1" x14ac:dyDescent="0.25"/>
    <row r="867" s="368" customFormat="1" ht="15.75" customHeight="1" x14ac:dyDescent="0.25"/>
    <row r="868" s="368" customFormat="1" ht="15.75" customHeight="1" x14ac:dyDescent="0.25"/>
    <row r="869" s="368" customFormat="1" ht="15.75" customHeight="1" x14ac:dyDescent="0.25"/>
    <row r="870" s="368" customFormat="1" ht="15.75" customHeight="1" x14ac:dyDescent="0.25"/>
    <row r="871" s="368" customFormat="1" ht="15.75" customHeight="1" x14ac:dyDescent="0.25"/>
    <row r="872" s="368" customFormat="1" ht="15.75" customHeight="1" x14ac:dyDescent="0.25"/>
    <row r="873" s="368" customFormat="1" ht="15.75" customHeight="1" x14ac:dyDescent="0.25"/>
    <row r="874" s="368" customFormat="1" ht="15.75" customHeight="1" x14ac:dyDescent="0.25"/>
    <row r="875" s="368" customFormat="1" ht="15.75" customHeight="1" x14ac:dyDescent="0.25"/>
    <row r="876" s="368" customFormat="1" ht="15.75" customHeight="1" x14ac:dyDescent="0.25"/>
    <row r="877" s="368" customFormat="1" ht="15.75" customHeight="1" x14ac:dyDescent="0.25"/>
    <row r="878" s="368" customFormat="1" ht="15.75" customHeight="1" x14ac:dyDescent="0.25"/>
    <row r="879" s="368" customFormat="1" ht="15.75" customHeight="1" x14ac:dyDescent="0.25"/>
    <row r="880" s="368" customFormat="1" ht="15.75" customHeight="1" x14ac:dyDescent="0.25"/>
    <row r="881" s="368" customFormat="1" ht="15.75" customHeight="1" x14ac:dyDescent="0.25"/>
    <row r="882" s="368" customFormat="1" ht="15.75" customHeight="1" x14ac:dyDescent="0.25"/>
    <row r="883" s="368" customFormat="1" ht="15.75" customHeight="1" x14ac:dyDescent="0.25"/>
    <row r="884" s="368" customFormat="1" ht="15.75" customHeight="1" x14ac:dyDescent="0.25"/>
    <row r="885" s="368" customFormat="1" ht="15.75" customHeight="1" x14ac:dyDescent="0.25"/>
    <row r="886" s="368" customFormat="1" ht="15.75" customHeight="1" x14ac:dyDescent="0.25"/>
    <row r="887" s="368" customFormat="1" ht="15.75" customHeight="1" x14ac:dyDescent="0.25"/>
    <row r="888" s="368" customFormat="1" ht="15.75" customHeight="1" x14ac:dyDescent="0.25"/>
    <row r="889" s="368" customFormat="1" ht="15.75" customHeight="1" x14ac:dyDescent="0.25"/>
    <row r="890" s="368" customFormat="1" ht="15.75" customHeight="1" x14ac:dyDescent="0.25"/>
    <row r="891" s="368" customFormat="1" ht="15.75" customHeight="1" x14ac:dyDescent="0.25"/>
    <row r="892" s="368" customFormat="1" ht="15.75" customHeight="1" x14ac:dyDescent="0.25"/>
    <row r="893" s="368" customFormat="1" ht="15.75" customHeight="1" x14ac:dyDescent="0.25"/>
    <row r="894" s="368" customFormat="1" ht="15.75" customHeight="1" x14ac:dyDescent="0.25"/>
    <row r="895" s="368" customFormat="1" ht="15.75" customHeight="1" x14ac:dyDescent="0.25"/>
    <row r="896" s="368" customFormat="1" ht="15.75" customHeight="1" x14ac:dyDescent="0.25"/>
    <row r="897" s="368" customFormat="1" ht="15.75" customHeight="1" x14ac:dyDescent="0.25"/>
    <row r="898" s="368" customFormat="1" ht="15.75" customHeight="1" x14ac:dyDescent="0.25"/>
    <row r="899" s="368" customFormat="1" ht="15.75" customHeight="1" x14ac:dyDescent="0.25"/>
    <row r="900" s="368" customFormat="1" ht="15.75" customHeight="1" x14ac:dyDescent="0.25"/>
    <row r="901" s="368" customFormat="1" ht="15.75" customHeight="1" x14ac:dyDescent="0.25"/>
    <row r="902" s="368" customFormat="1" ht="15.75" customHeight="1" x14ac:dyDescent="0.25"/>
    <row r="903" s="368" customFormat="1" ht="15.75" customHeight="1" x14ac:dyDescent="0.25"/>
    <row r="904" s="368" customFormat="1" ht="15.75" customHeight="1" x14ac:dyDescent="0.25"/>
    <row r="905" s="368" customFormat="1" ht="15.75" customHeight="1" x14ac:dyDescent="0.25"/>
    <row r="906" s="368" customFormat="1" ht="15.75" customHeight="1" x14ac:dyDescent="0.25"/>
    <row r="907" s="368" customFormat="1" ht="15.75" customHeight="1" x14ac:dyDescent="0.25"/>
    <row r="908" s="368" customFormat="1" ht="15.75" customHeight="1" x14ac:dyDescent="0.25"/>
    <row r="909" s="368" customFormat="1" ht="15.75" customHeight="1" x14ac:dyDescent="0.25"/>
    <row r="910" s="368" customFormat="1" ht="15.75" customHeight="1" x14ac:dyDescent="0.25"/>
    <row r="911" s="368" customFormat="1" ht="15.75" customHeight="1" x14ac:dyDescent="0.25"/>
    <row r="912" s="368" customFormat="1" ht="15.75" customHeight="1" x14ac:dyDescent="0.25"/>
    <row r="913" s="368" customFormat="1" ht="15.75" customHeight="1" x14ac:dyDescent="0.25"/>
    <row r="914" s="368" customFormat="1" ht="15.75" customHeight="1" x14ac:dyDescent="0.25"/>
    <row r="915" s="368" customFormat="1" ht="15.75" customHeight="1" x14ac:dyDescent="0.25"/>
    <row r="916" s="368" customFormat="1" ht="15.75" customHeight="1" x14ac:dyDescent="0.25"/>
    <row r="917" s="368" customFormat="1" ht="15.75" customHeight="1" x14ac:dyDescent="0.25"/>
    <row r="918" s="368" customFormat="1" ht="15.75" customHeight="1" x14ac:dyDescent="0.25"/>
    <row r="919" s="368" customFormat="1" ht="15.75" customHeight="1" x14ac:dyDescent="0.25"/>
    <row r="920" s="368" customFormat="1" ht="15.75" customHeight="1" x14ac:dyDescent="0.25"/>
    <row r="921" s="368" customFormat="1" ht="15.75" customHeight="1" x14ac:dyDescent="0.25"/>
    <row r="922" s="368" customFormat="1" ht="15.75" customHeight="1" x14ac:dyDescent="0.25"/>
    <row r="923" s="368" customFormat="1" ht="15.75" customHeight="1" x14ac:dyDescent="0.25"/>
    <row r="924" s="368" customFormat="1" ht="15.75" customHeight="1" x14ac:dyDescent="0.25"/>
    <row r="925" s="368" customFormat="1" ht="15.75" customHeight="1" x14ac:dyDescent="0.25"/>
    <row r="926" s="368" customFormat="1" ht="15.75" customHeight="1" x14ac:dyDescent="0.25"/>
    <row r="927" s="368" customFormat="1" ht="15.75" customHeight="1" x14ac:dyDescent="0.25"/>
    <row r="928" s="368" customFormat="1" ht="15.75" customHeight="1" x14ac:dyDescent="0.25"/>
    <row r="929" s="368" customFormat="1" ht="15.75" customHeight="1" x14ac:dyDescent="0.25"/>
    <row r="930" s="368" customFormat="1" ht="15.75" customHeight="1" x14ac:dyDescent="0.25"/>
    <row r="931" s="368" customFormat="1" ht="15.75" customHeight="1" x14ac:dyDescent="0.25"/>
    <row r="932" s="368" customFormat="1" ht="15.75" customHeight="1" x14ac:dyDescent="0.25"/>
    <row r="933" s="368" customFormat="1" ht="15.75" customHeight="1" x14ac:dyDescent="0.25"/>
    <row r="934" s="368" customFormat="1" ht="15.75" customHeight="1" x14ac:dyDescent="0.25"/>
    <row r="935" s="368" customFormat="1" ht="15.75" customHeight="1" x14ac:dyDescent="0.25"/>
    <row r="936" s="368" customFormat="1" ht="15.75" customHeight="1" x14ac:dyDescent="0.25"/>
    <row r="937" s="368" customFormat="1" ht="15.75" customHeight="1" x14ac:dyDescent="0.25"/>
    <row r="938" s="368" customFormat="1" ht="15.75" customHeight="1" x14ac:dyDescent="0.25"/>
    <row r="939" s="368" customFormat="1" ht="15.75" customHeight="1" x14ac:dyDescent="0.25"/>
    <row r="940" s="368" customFormat="1" ht="15.75" customHeight="1" x14ac:dyDescent="0.25"/>
    <row r="941" s="368" customFormat="1" ht="15.75" customHeight="1" x14ac:dyDescent="0.25"/>
    <row r="942" s="368" customFormat="1" ht="15.75" customHeight="1" x14ac:dyDescent="0.25"/>
    <row r="943" s="368" customFormat="1" ht="15.75" customHeight="1" x14ac:dyDescent="0.25"/>
    <row r="944" s="368" customFormat="1" ht="15.75" customHeight="1" x14ac:dyDescent="0.25"/>
    <row r="945" s="368" customFormat="1" ht="15.75" customHeight="1" x14ac:dyDescent="0.25"/>
    <row r="946" s="368" customFormat="1" ht="15.75" customHeight="1" x14ac:dyDescent="0.25"/>
    <row r="947" s="368" customFormat="1" ht="15.75" customHeight="1" x14ac:dyDescent="0.25"/>
    <row r="948" s="368" customFormat="1" ht="15.75" customHeight="1" x14ac:dyDescent="0.25"/>
    <row r="949" s="368" customFormat="1" ht="15.75" customHeight="1" x14ac:dyDescent="0.25"/>
    <row r="950" s="368" customFormat="1" ht="15.75" customHeight="1" x14ac:dyDescent="0.25"/>
    <row r="951" s="368" customFormat="1" ht="15.75" customHeight="1" x14ac:dyDescent="0.25"/>
    <row r="952" s="368" customFormat="1" ht="15.75" customHeight="1" x14ac:dyDescent="0.25"/>
    <row r="953" s="368" customFormat="1" ht="15.75" customHeight="1" x14ac:dyDescent="0.25"/>
    <row r="954" s="368" customFormat="1" ht="15.75" customHeight="1" x14ac:dyDescent="0.25"/>
    <row r="955" s="368" customFormat="1" ht="15.75" customHeight="1" x14ac:dyDescent="0.25"/>
    <row r="956" s="368" customFormat="1" ht="15.75" customHeight="1" x14ac:dyDescent="0.25"/>
    <row r="957" s="368" customFormat="1" ht="15.75" customHeight="1" x14ac:dyDescent="0.25"/>
    <row r="958" s="368" customFormat="1" ht="15.75" customHeight="1" x14ac:dyDescent="0.25"/>
    <row r="959" s="368" customFormat="1" ht="15.75" customHeight="1" x14ac:dyDescent="0.25"/>
    <row r="960" s="368" customFormat="1" ht="15.75" customHeight="1" x14ac:dyDescent="0.25"/>
    <row r="961" s="368" customFormat="1" ht="15.75" customHeight="1" x14ac:dyDescent="0.25"/>
    <row r="962" s="368" customFormat="1" ht="15.75" customHeight="1" x14ac:dyDescent="0.25"/>
    <row r="963" s="368" customFormat="1" ht="15.75" customHeight="1" x14ac:dyDescent="0.25"/>
    <row r="964" s="368" customFormat="1" ht="15.75" customHeight="1" x14ac:dyDescent="0.25"/>
    <row r="965" s="368" customFormat="1" ht="15.75" customHeight="1" x14ac:dyDescent="0.25"/>
    <row r="966" s="368" customFormat="1" ht="15.75" customHeight="1" x14ac:dyDescent="0.25"/>
    <row r="967" s="368" customFormat="1" ht="15.75" customHeight="1" x14ac:dyDescent="0.25"/>
    <row r="968" s="368" customFormat="1" ht="15.75" customHeight="1" x14ac:dyDescent="0.25"/>
    <row r="969" s="368" customFormat="1" ht="15.75" customHeight="1" x14ac:dyDescent="0.25"/>
    <row r="970" s="368" customFormat="1" ht="15.75" customHeight="1" x14ac:dyDescent="0.25"/>
    <row r="971" s="368" customFormat="1" ht="15.75" customHeight="1" x14ac:dyDescent="0.25"/>
    <row r="972" s="368" customFormat="1" ht="15.75" customHeight="1" x14ac:dyDescent="0.25"/>
    <row r="973" s="368" customFormat="1" ht="15.75" customHeight="1" x14ac:dyDescent="0.25"/>
    <row r="974" s="368" customFormat="1" ht="15.75" customHeight="1" x14ac:dyDescent="0.25"/>
    <row r="975" s="368" customFormat="1" ht="15.75" customHeight="1" x14ac:dyDescent="0.25"/>
    <row r="976" s="368" customFormat="1" ht="15.75" customHeight="1" x14ac:dyDescent="0.25"/>
    <row r="977" s="368" customFormat="1" ht="15.75" customHeight="1" x14ac:dyDescent="0.25"/>
    <row r="978" s="368" customFormat="1" ht="15.75" customHeight="1" x14ac:dyDescent="0.25"/>
    <row r="979" s="368" customFormat="1" ht="15.75" customHeight="1" x14ac:dyDescent="0.25"/>
    <row r="980" s="368" customFormat="1" ht="15.75" customHeight="1" x14ac:dyDescent="0.25"/>
    <row r="981" s="368" customFormat="1" ht="15.75" customHeight="1" x14ac:dyDescent="0.25"/>
    <row r="982" s="368" customFormat="1" ht="15.75" customHeight="1" x14ac:dyDescent="0.25"/>
    <row r="983" s="368" customFormat="1" ht="15.75" customHeight="1" x14ac:dyDescent="0.25"/>
    <row r="984" s="368" customFormat="1" ht="15.75" customHeight="1" x14ac:dyDescent="0.25"/>
    <row r="985" s="368" customFormat="1" ht="15.75" customHeight="1" x14ac:dyDescent="0.25"/>
    <row r="986" s="368" customFormat="1" ht="15.75" customHeight="1" x14ac:dyDescent="0.25"/>
    <row r="987" s="368" customFormat="1" ht="15.75" customHeight="1" x14ac:dyDescent="0.25"/>
    <row r="988" s="368" customFormat="1" ht="15.75" customHeight="1" x14ac:dyDescent="0.25"/>
    <row r="989" s="368" customFormat="1" ht="15.75" customHeight="1" x14ac:dyDescent="0.25"/>
    <row r="990" s="368" customFormat="1" ht="15.75" customHeight="1" x14ac:dyDescent="0.25"/>
    <row r="991" s="368" customFormat="1" ht="15.75" customHeight="1" x14ac:dyDescent="0.25"/>
    <row r="992" s="368" customFormat="1" ht="15.75" customHeight="1" x14ac:dyDescent="0.25"/>
    <row r="993" s="368" customFormat="1" ht="15.75" customHeight="1" x14ac:dyDescent="0.25"/>
    <row r="994" s="368" customFormat="1" ht="15.75" customHeight="1" x14ac:dyDescent="0.25"/>
  </sheetData>
  <sheetProtection sheet="1" objects="1" scenarios="1" selectLockedCells="1" selectUnlockedCells="1"/>
  <pageMargins left="0.78740157499999996" right="0.78740157499999996" top="0.984251969" bottom="0.98425196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25</vt:i4>
      </vt:variant>
    </vt:vector>
  </HeadingPairs>
  <TitlesOfParts>
    <vt:vector size="28" baseType="lpstr">
      <vt:lpstr>TECHNICAL REQUIREMENTS - PRIM</vt:lpstr>
      <vt:lpstr>INSTRUCTIONS &amp; EXAMPLE</vt:lpstr>
      <vt:lpstr>Tarifs</vt:lpstr>
      <vt:lpstr>'INSTRUCTIONS &amp; EXAMPLE'!DUREE</vt:lpstr>
      <vt:lpstr>DUREE</vt:lpstr>
      <vt:lpstr>EQUIP_PPI</vt:lpstr>
      <vt:lpstr>EQUIP_PPS</vt:lpstr>
      <vt:lpstr>EQUIP_TOURNAGE</vt:lpstr>
      <vt:lpstr>EQUIP_TR</vt:lpstr>
      <vt:lpstr>LTO</vt:lpstr>
      <vt:lpstr>PROGRAMME</vt:lpstr>
      <vt:lpstr>RABAIS</vt:lpstr>
      <vt:lpstr>Supports</vt:lpstr>
      <vt:lpstr>Tech_Ass</vt:lpstr>
      <vt:lpstr>Tech_colo1</vt:lpstr>
      <vt:lpstr>Tech_Colo2</vt:lpstr>
      <vt:lpstr>Tech_edit</vt:lpstr>
      <vt:lpstr>Tech_Labo</vt:lpstr>
      <vt:lpstr>Tech_MixCine</vt:lpstr>
      <vt:lpstr>Tech_Montage</vt:lpstr>
      <vt:lpstr>Tech_online</vt:lpstr>
      <vt:lpstr>Tech_VR</vt:lpstr>
      <vt:lpstr>Techs_image</vt:lpstr>
      <vt:lpstr>Techs_Images_Tarifs</vt:lpstr>
      <vt:lpstr>Techs_son</vt:lpstr>
      <vt:lpstr>Techs_son_Tarifs</vt:lpstr>
      <vt:lpstr>Techs_TR</vt:lpstr>
      <vt:lpstr>UNIT_Tournage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PRIM;Francois Toussaint</dc:creator>
  <cp:lastModifiedBy>François Toussaint</cp:lastModifiedBy>
  <dcterms:created xsi:type="dcterms:W3CDTF">2014-09-11T00:49:37Z</dcterms:created>
  <dcterms:modified xsi:type="dcterms:W3CDTF">2026-10-20T21:20:06Z</dcterms:modified>
</cp:coreProperties>
</file>