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P:\Mon Drive\_PRIM\003 - SERVICES AUX MEMBRES\01 - Programmes\02 - Résidences\C - Résidence MAI\"/>
    </mc:Choice>
  </mc:AlternateContent>
  <xr:revisionPtr revIDLastSave="0" documentId="13_ncr:1_{7C172DDE-D768-4C50-943A-198423E279B8}" xr6:coauthVersionLast="47" xr6:coauthVersionMax="47" xr10:uidLastSave="{00000000-0000-0000-0000-000000000000}"/>
  <workbookProtection lockStructure="1"/>
  <bookViews>
    <workbookView xWindow="28680" yWindow="-120" windowWidth="29040" windowHeight="15990" firstSheet="1" activeTab="1" xr2:uid="{00000000-000D-0000-FFFF-FFFF00000000}"/>
  </bookViews>
  <sheets>
    <sheet name="Tarifs" sheetId="1" state="hidden" r:id="rId1"/>
    <sheet name="Besoins techniques - PRIM" sheetId="2" r:id="rId2"/>
  </sheets>
  <definedNames>
    <definedName name="DUREE">'Besoins techniques - PRIM'!$G$4</definedName>
    <definedName name="EQUIP_PPI">Tarifs!$A$3:$A$9</definedName>
    <definedName name="EQUIP_PPS">Tarifs!$A$12:$A$19</definedName>
    <definedName name="EQUIP_TOURNAGE">Tarifs!$A$42:$A$82</definedName>
    <definedName name="EQUIP_TR">Tarifs!$A$21</definedName>
    <definedName name="LTO">Tarifs!$F$23:$F$24</definedName>
    <definedName name="PROGRAMME">Tarifs!$A$93:$A$95</definedName>
    <definedName name="Supports">Tarifs!$A$85:$A$89</definedName>
    <definedName name="Techs_image">Tarifs!$A$35:$A$37</definedName>
    <definedName name="Techs_son">Tarifs!$A$38</definedName>
    <definedName name="Techs_TR">Tarifs!$A$39</definedName>
    <definedName name="UNIT_Tournage">Tarifs!$E$35:$E$38</definedName>
  </definedNames>
  <calcPr calcId="162913"/>
  <extLst>
    <ext uri="GoogleSheetsCustomDataVersion1">
      <go:sheetsCustomData xmlns:go="http://customooxmlschemas.google.com/" r:id="rId6" roundtripDataSignature="AMtx7mhUe9fDFIgT3oaXxMfPldRUdfbK2g=="/>
    </ext>
  </extLst>
</workbook>
</file>

<file path=xl/calcChain.xml><?xml version="1.0" encoding="utf-8"?>
<calcChain xmlns="http://schemas.openxmlformats.org/spreadsheetml/2006/main">
  <c r="C14" i="1" l="1"/>
  <c r="E6" i="2"/>
  <c r="M9" i="2"/>
  <c r="C78" i="2"/>
  <c r="M78" i="2"/>
  <c r="M83" i="2"/>
  <c r="M82" i="2"/>
  <c r="M71" i="2"/>
  <c r="M63" i="2"/>
  <c r="M57" i="2"/>
  <c r="M56" i="2"/>
  <c r="M53" i="2"/>
  <c r="M52" i="2"/>
  <c r="M49" i="2"/>
  <c r="M48" i="2"/>
  <c r="M42" i="2"/>
  <c r="M37" i="2"/>
  <c r="M36" i="2"/>
  <c r="M29" i="2"/>
  <c r="M21" i="2"/>
  <c r="G93" i="1"/>
  <c r="D14" i="1" s="1"/>
  <c r="F93" i="1"/>
  <c r="E93" i="1"/>
  <c r="C19" i="1"/>
  <c r="C15" i="1"/>
  <c r="K91" i="2"/>
  <c r="I75" i="2"/>
  <c r="M75" i="2" s="1"/>
  <c r="A28" i="2"/>
  <c r="C81" i="1"/>
  <c r="G81" i="1" s="1"/>
  <c r="D81" i="1"/>
  <c r="H81" i="1" s="1"/>
  <c r="E81" i="1"/>
  <c r="I81" i="1" s="1"/>
  <c r="F81" i="1"/>
  <c r="E14" i="1" l="1"/>
  <c r="D6" i="1"/>
  <c r="D16" i="1"/>
  <c r="D5" i="1"/>
  <c r="D15" i="1"/>
  <c r="D12" i="1"/>
  <c r="D23" i="1"/>
  <c r="E10" i="1"/>
  <c r="E23" i="1"/>
  <c r="E9" i="1"/>
  <c r="D19" i="1"/>
  <c r="E24" i="1"/>
  <c r="D9" i="1"/>
  <c r="D29" i="1"/>
  <c r="D10" i="1"/>
  <c r="E19" i="1"/>
  <c r="E15" i="1"/>
  <c r="D24" i="1"/>
  <c r="D28" i="1"/>
  <c r="D26" i="1"/>
  <c r="D4" i="1"/>
  <c r="D18" i="1"/>
  <c r="D13" i="1"/>
  <c r="D27" i="1"/>
  <c r="D8" i="1"/>
  <c r="D7" i="1"/>
  <c r="D21" i="1"/>
  <c r="D32" i="1"/>
  <c r="D3" i="1"/>
  <c r="D17" i="1"/>
  <c r="E21" i="1"/>
  <c r="D30" i="1"/>
  <c r="D79" i="1"/>
  <c r="H79" i="1" s="1"/>
  <c r="K88" i="2"/>
  <c r="A88" i="2"/>
  <c r="A87" i="2"/>
  <c r="A86" i="2"/>
  <c r="A85" i="2"/>
  <c r="A84" i="2"/>
  <c r="I74" i="2"/>
  <c r="M74" i="2" s="1"/>
  <c r="I73" i="2"/>
  <c r="M73" i="2" s="1"/>
  <c r="I72" i="2"/>
  <c r="M72" i="2" s="1"/>
  <c r="I68" i="2"/>
  <c r="M68" i="2" s="1"/>
  <c r="G68" i="2"/>
  <c r="I67" i="2"/>
  <c r="M67" i="2" s="1"/>
  <c r="G67" i="2"/>
  <c r="I66" i="2"/>
  <c r="M66" i="2" s="1"/>
  <c r="G66" i="2"/>
  <c r="I65" i="2"/>
  <c r="M65" i="2" s="1"/>
  <c r="G65" i="2"/>
  <c r="I64" i="2"/>
  <c r="M64" i="2" s="1"/>
  <c r="G64" i="2"/>
  <c r="Q60" i="2"/>
  <c r="P60" i="2"/>
  <c r="O60" i="2"/>
  <c r="N60" i="2"/>
  <c r="I60" i="2"/>
  <c r="G60" i="2"/>
  <c r="Q59" i="2"/>
  <c r="P59" i="2"/>
  <c r="O59" i="2"/>
  <c r="N59" i="2"/>
  <c r="G59" i="2"/>
  <c r="I59" i="2" s="1"/>
  <c r="G58" i="2"/>
  <c r="C58" i="2"/>
  <c r="G55" i="2"/>
  <c r="I55" i="2" s="1"/>
  <c r="G54" i="2"/>
  <c r="I54" i="2" s="1"/>
  <c r="I51" i="2"/>
  <c r="I50" i="2"/>
  <c r="G45" i="2"/>
  <c r="I45" i="2" s="1"/>
  <c r="K45" i="2" s="1"/>
  <c r="G44" i="2"/>
  <c r="I44" i="2" s="1"/>
  <c r="G43" i="2"/>
  <c r="I43" i="2" s="1"/>
  <c r="G41" i="2"/>
  <c r="I41" i="2" s="1"/>
  <c r="G40" i="2"/>
  <c r="I40" i="2" s="1"/>
  <c r="G39" i="2"/>
  <c r="I39" i="2" s="1"/>
  <c r="G38" i="2"/>
  <c r="I38" i="2" s="1"/>
  <c r="G33" i="2"/>
  <c r="I33" i="2" s="1"/>
  <c r="G32" i="2"/>
  <c r="I32" i="2" s="1"/>
  <c r="G31" i="2"/>
  <c r="I31" i="2" s="1"/>
  <c r="G30" i="2"/>
  <c r="I30" i="2" s="1"/>
  <c r="G27" i="2"/>
  <c r="I27" i="2" s="1"/>
  <c r="G26" i="2"/>
  <c r="I26" i="2" s="1"/>
  <c r="G25" i="2"/>
  <c r="I25" i="2" s="1"/>
  <c r="G24" i="2"/>
  <c r="I24" i="2" s="1"/>
  <c r="G23" i="2"/>
  <c r="I23" i="2" s="1"/>
  <c r="G18" i="2"/>
  <c r="I18" i="2" s="1"/>
  <c r="G17" i="2"/>
  <c r="I17" i="2" s="1"/>
  <c r="G16" i="2"/>
  <c r="I16" i="2" s="1"/>
  <c r="G15" i="2"/>
  <c r="I15" i="2" s="1"/>
  <c r="G14" i="2"/>
  <c r="I14" i="2" s="1"/>
  <c r="G13" i="2"/>
  <c r="I13" i="2" s="1"/>
  <c r="G12" i="2"/>
  <c r="I12" i="2" s="1"/>
  <c r="G11" i="2"/>
  <c r="I11" i="2" s="1"/>
  <c r="F82" i="1"/>
  <c r="E82" i="1"/>
  <c r="I82" i="1" s="1"/>
  <c r="D82" i="1"/>
  <c r="H82" i="1" s="1"/>
  <c r="C82" i="1"/>
  <c r="G82" i="1" s="1"/>
  <c r="F80" i="1"/>
  <c r="E80" i="1"/>
  <c r="I80" i="1" s="1"/>
  <c r="D80" i="1"/>
  <c r="H80" i="1" s="1"/>
  <c r="C80" i="1"/>
  <c r="G80" i="1" s="1"/>
  <c r="F79" i="1"/>
  <c r="E79" i="1"/>
  <c r="I79" i="1" s="1"/>
  <c r="C79" i="1"/>
  <c r="G79" i="1" s="1"/>
  <c r="F78" i="1"/>
  <c r="E78" i="1"/>
  <c r="I78" i="1" s="1"/>
  <c r="D78" i="1"/>
  <c r="H78" i="1" s="1"/>
  <c r="C78" i="1"/>
  <c r="G78" i="1" s="1"/>
  <c r="F77" i="1"/>
  <c r="E77" i="1"/>
  <c r="I77" i="1" s="1"/>
  <c r="D77" i="1"/>
  <c r="H77" i="1" s="1"/>
  <c r="C77" i="1"/>
  <c r="G77" i="1" s="1"/>
  <c r="F76" i="1"/>
  <c r="E76" i="1"/>
  <c r="I76" i="1" s="1"/>
  <c r="D76" i="1"/>
  <c r="H76" i="1" s="1"/>
  <c r="C76" i="1"/>
  <c r="G76" i="1" s="1"/>
  <c r="F75" i="1"/>
  <c r="E75" i="1"/>
  <c r="I75" i="1" s="1"/>
  <c r="D75" i="1"/>
  <c r="H75" i="1" s="1"/>
  <c r="C75" i="1"/>
  <c r="G75" i="1" s="1"/>
  <c r="F74" i="1"/>
  <c r="E74" i="1"/>
  <c r="I74" i="1" s="1"/>
  <c r="D74" i="1"/>
  <c r="H74" i="1" s="1"/>
  <c r="C74" i="1"/>
  <c r="G74" i="1" s="1"/>
  <c r="F73" i="1"/>
  <c r="E73" i="1"/>
  <c r="I73" i="1" s="1"/>
  <c r="D73" i="1"/>
  <c r="H73" i="1" s="1"/>
  <c r="C73" i="1"/>
  <c r="G73" i="1" s="1"/>
  <c r="F72" i="1"/>
  <c r="E72" i="1"/>
  <c r="I72" i="1" s="1"/>
  <c r="D72" i="1"/>
  <c r="H72" i="1" s="1"/>
  <c r="C72" i="1"/>
  <c r="G72" i="1" s="1"/>
  <c r="F71" i="1"/>
  <c r="E71" i="1"/>
  <c r="I71" i="1" s="1"/>
  <c r="D71" i="1"/>
  <c r="H71" i="1" s="1"/>
  <c r="C71" i="1"/>
  <c r="G71" i="1" s="1"/>
  <c r="F70" i="1"/>
  <c r="E70" i="1"/>
  <c r="I70" i="1" s="1"/>
  <c r="D70" i="1"/>
  <c r="H70" i="1" s="1"/>
  <c r="C70" i="1"/>
  <c r="G70" i="1" s="1"/>
  <c r="F69" i="1"/>
  <c r="E69" i="1"/>
  <c r="I69" i="1" s="1"/>
  <c r="D69" i="1"/>
  <c r="H69" i="1" s="1"/>
  <c r="C69" i="1"/>
  <c r="G69" i="1" s="1"/>
  <c r="F68" i="1"/>
  <c r="E68" i="1"/>
  <c r="I68" i="1" s="1"/>
  <c r="D68" i="1"/>
  <c r="H68" i="1" s="1"/>
  <c r="C68" i="1"/>
  <c r="G68" i="1" s="1"/>
  <c r="F67" i="1"/>
  <c r="E67" i="1"/>
  <c r="I67" i="1" s="1"/>
  <c r="D67" i="1"/>
  <c r="H67" i="1" s="1"/>
  <c r="C67" i="1"/>
  <c r="G67" i="1" s="1"/>
  <c r="F66" i="1"/>
  <c r="E66" i="1"/>
  <c r="I66" i="1" s="1"/>
  <c r="D66" i="1"/>
  <c r="H66" i="1" s="1"/>
  <c r="C66" i="1"/>
  <c r="G66" i="1" s="1"/>
  <c r="F65" i="1"/>
  <c r="E65" i="1"/>
  <c r="I65" i="1" s="1"/>
  <c r="D65" i="1"/>
  <c r="H65" i="1" s="1"/>
  <c r="C65" i="1"/>
  <c r="G65" i="1" s="1"/>
  <c r="F64" i="1"/>
  <c r="E64" i="1"/>
  <c r="I64" i="1" s="1"/>
  <c r="D64" i="1"/>
  <c r="H64" i="1" s="1"/>
  <c r="C64" i="1"/>
  <c r="G64" i="1" s="1"/>
  <c r="F63" i="1"/>
  <c r="E63" i="1"/>
  <c r="I63" i="1" s="1"/>
  <c r="D63" i="1"/>
  <c r="H63" i="1" s="1"/>
  <c r="C63" i="1"/>
  <c r="G63" i="1" s="1"/>
  <c r="F62" i="1"/>
  <c r="E62" i="1"/>
  <c r="I62" i="1" s="1"/>
  <c r="D62" i="1"/>
  <c r="H62" i="1" s="1"/>
  <c r="C62" i="1"/>
  <c r="G62" i="1" s="1"/>
  <c r="F61" i="1"/>
  <c r="E61" i="1"/>
  <c r="I61" i="1" s="1"/>
  <c r="D61" i="1"/>
  <c r="H61" i="1" s="1"/>
  <c r="C61" i="1"/>
  <c r="G61" i="1" s="1"/>
  <c r="F60" i="1"/>
  <c r="E60" i="1"/>
  <c r="I60" i="1" s="1"/>
  <c r="D60" i="1"/>
  <c r="H60" i="1" s="1"/>
  <c r="C60" i="1"/>
  <c r="G60" i="1" s="1"/>
  <c r="F59" i="1"/>
  <c r="E59" i="1"/>
  <c r="I59" i="1" s="1"/>
  <c r="D59" i="1"/>
  <c r="H59" i="1" s="1"/>
  <c r="C59" i="1"/>
  <c r="G59" i="1" s="1"/>
  <c r="F58" i="1"/>
  <c r="E58" i="1"/>
  <c r="I58" i="1" s="1"/>
  <c r="D58" i="1"/>
  <c r="H58" i="1" s="1"/>
  <c r="C58" i="1"/>
  <c r="G58" i="1" s="1"/>
  <c r="F57" i="1"/>
  <c r="E57" i="1"/>
  <c r="I57" i="1" s="1"/>
  <c r="D57" i="1"/>
  <c r="H57" i="1" s="1"/>
  <c r="C57" i="1"/>
  <c r="G57" i="1" s="1"/>
  <c r="F56" i="1"/>
  <c r="E56" i="1"/>
  <c r="I56" i="1" s="1"/>
  <c r="D56" i="1"/>
  <c r="H56" i="1" s="1"/>
  <c r="C56" i="1"/>
  <c r="G56" i="1" s="1"/>
  <c r="F55" i="1"/>
  <c r="E55" i="1"/>
  <c r="I55" i="1" s="1"/>
  <c r="D55" i="1"/>
  <c r="H55" i="1" s="1"/>
  <c r="C55" i="1"/>
  <c r="G55" i="1" s="1"/>
  <c r="F54" i="1"/>
  <c r="E54" i="1"/>
  <c r="I54" i="1" s="1"/>
  <c r="D54" i="1"/>
  <c r="H54" i="1" s="1"/>
  <c r="C54" i="1"/>
  <c r="G54" i="1" s="1"/>
  <c r="F53" i="1"/>
  <c r="E53" i="1"/>
  <c r="I53" i="1" s="1"/>
  <c r="D53" i="1"/>
  <c r="H53" i="1" s="1"/>
  <c r="C53" i="1"/>
  <c r="G53" i="1" s="1"/>
  <c r="F52" i="1"/>
  <c r="E52" i="1"/>
  <c r="I52" i="1" s="1"/>
  <c r="D52" i="1"/>
  <c r="H52" i="1" s="1"/>
  <c r="C52" i="1"/>
  <c r="G52" i="1" s="1"/>
  <c r="F51" i="1"/>
  <c r="E51" i="1"/>
  <c r="I51" i="1" s="1"/>
  <c r="D51" i="1"/>
  <c r="H51" i="1" s="1"/>
  <c r="C51" i="1"/>
  <c r="G51" i="1" s="1"/>
  <c r="F50" i="1"/>
  <c r="E50" i="1"/>
  <c r="I50" i="1" s="1"/>
  <c r="D50" i="1"/>
  <c r="H50" i="1" s="1"/>
  <c r="C50" i="1"/>
  <c r="G50" i="1" s="1"/>
  <c r="F49" i="1"/>
  <c r="E49" i="1"/>
  <c r="I49" i="1" s="1"/>
  <c r="D49" i="1"/>
  <c r="H49" i="1" s="1"/>
  <c r="C49" i="1"/>
  <c r="G49" i="1" s="1"/>
  <c r="F48" i="1"/>
  <c r="E48" i="1"/>
  <c r="I48" i="1" s="1"/>
  <c r="D48" i="1"/>
  <c r="H48" i="1" s="1"/>
  <c r="C48" i="1"/>
  <c r="G48" i="1" s="1"/>
  <c r="F47" i="1"/>
  <c r="E47" i="1"/>
  <c r="I47" i="1" s="1"/>
  <c r="D47" i="1"/>
  <c r="H47" i="1" s="1"/>
  <c r="C47" i="1"/>
  <c r="G47" i="1" s="1"/>
  <c r="F46" i="1"/>
  <c r="E46" i="1"/>
  <c r="I46" i="1" s="1"/>
  <c r="D46" i="1"/>
  <c r="H46" i="1" s="1"/>
  <c r="C46" i="1"/>
  <c r="G46" i="1" s="1"/>
  <c r="F45" i="1"/>
  <c r="E45" i="1"/>
  <c r="I45" i="1" s="1"/>
  <c r="D45" i="1"/>
  <c r="H45" i="1" s="1"/>
  <c r="C45" i="1"/>
  <c r="G45" i="1" s="1"/>
  <c r="F44" i="1"/>
  <c r="E44" i="1"/>
  <c r="I44" i="1" s="1"/>
  <c r="D44" i="1"/>
  <c r="H44" i="1" s="1"/>
  <c r="C44" i="1"/>
  <c r="G44" i="1" s="1"/>
  <c r="F43" i="1"/>
  <c r="E43" i="1"/>
  <c r="I43" i="1" s="1"/>
  <c r="D43" i="1"/>
  <c r="H43" i="1" s="1"/>
  <c r="C43" i="1"/>
  <c r="G43" i="1" s="1"/>
  <c r="F42" i="1"/>
  <c r="E42" i="1"/>
  <c r="I42" i="1" s="1"/>
  <c r="D42" i="1"/>
  <c r="H42" i="1" s="1"/>
  <c r="C42" i="1"/>
  <c r="G42" i="1" s="1"/>
  <c r="C32" i="1"/>
  <c r="E32" i="1" s="1"/>
  <c r="C30" i="1"/>
  <c r="E30" i="1" s="1"/>
  <c r="C29" i="1"/>
  <c r="E29" i="1" s="1"/>
  <c r="C28" i="1"/>
  <c r="E28" i="1" s="1"/>
  <c r="C27" i="1"/>
  <c r="E27" i="1" s="1"/>
  <c r="C26" i="1"/>
  <c r="E26" i="1" s="1"/>
  <c r="C18" i="1"/>
  <c r="E18" i="1" s="1"/>
  <c r="E17" i="1"/>
  <c r="C16" i="1"/>
  <c r="E16" i="1" s="1"/>
  <c r="C13" i="1"/>
  <c r="E13" i="1" s="1"/>
  <c r="C12" i="1"/>
  <c r="E12" i="1" s="1"/>
  <c r="C8" i="1"/>
  <c r="E8" i="1" s="1"/>
  <c r="C7" i="1"/>
  <c r="E7" i="1" s="1"/>
  <c r="C6" i="1"/>
  <c r="E6" i="1" s="1"/>
  <c r="C5" i="1"/>
  <c r="E5" i="1" s="1"/>
  <c r="C4" i="1"/>
  <c r="E4" i="1" s="1"/>
  <c r="C3" i="1"/>
  <c r="E3" i="1" s="1"/>
  <c r="C28" i="2" l="1"/>
  <c r="R59" i="2"/>
  <c r="R60" i="2"/>
  <c r="I46" i="2"/>
  <c r="I86" i="2" s="1"/>
  <c r="I58" i="2"/>
  <c r="I61" i="2" s="1"/>
  <c r="I87" i="2" s="1"/>
  <c r="K30" i="2"/>
  <c r="M30" i="2" s="1"/>
  <c r="I19" i="2"/>
  <c r="I84" i="2" s="1"/>
  <c r="K31" i="2"/>
  <c r="M31" i="2" s="1"/>
  <c r="K32" i="2"/>
  <c r="M32" i="2" s="1"/>
  <c r="K33" i="2"/>
  <c r="M33" i="2" s="1"/>
  <c r="K44" i="2"/>
  <c r="M44" i="2" s="1"/>
  <c r="M69" i="2"/>
  <c r="M88" i="2" s="1"/>
  <c r="M45" i="2"/>
  <c r="I69" i="2"/>
  <c r="I88" i="2" s="1"/>
  <c r="K43" i="2" l="1"/>
  <c r="M43" i="2" s="1"/>
  <c r="G28" i="2"/>
  <c r="I28" i="2" s="1"/>
  <c r="I34" i="2" s="1"/>
  <c r="I85" i="2" s="1"/>
  <c r="K51" i="2" l="1"/>
  <c r="M51" i="2" s="1"/>
  <c r="P58" i="2" l="1"/>
  <c r="Q58" i="2" s="1"/>
  <c r="I76" i="2" l="1"/>
  <c r="K76" i="2"/>
  <c r="K89" i="2" s="1"/>
  <c r="I89" i="2" l="1"/>
  <c r="I90" i="2" s="1"/>
  <c r="M76" i="2"/>
  <c r="M89" i="2" s="1"/>
  <c r="O58" i="2" l="1"/>
  <c r="R58" i="2" s="1"/>
  <c r="K11" i="2" l="1"/>
  <c r="M11" i="2" s="1"/>
  <c r="K12" i="2" l="1"/>
  <c r="M12" i="2" s="1"/>
  <c r="K13" i="2" l="1"/>
  <c r="M13" i="2" s="1"/>
  <c r="K14" i="2" l="1"/>
  <c r="M14" i="2" s="1"/>
  <c r="K15" i="2" l="1"/>
  <c r="M15" i="2" s="1"/>
  <c r="K16" i="2" l="1"/>
  <c r="M16" i="2" l="1"/>
  <c r="K17" i="2"/>
  <c r="M17" i="2" s="1"/>
  <c r="K18" i="2" l="1"/>
  <c r="M18" i="2" s="1"/>
  <c r="M19" i="2" s="1"/>
  <c r="M84" i="2" s="1"/>
  <c r="K19" i="2" l="1"/>
  <c r="K84" i="2"/>
  <c r="K23" i="2"/>
  <c r="K24" i="2" s="1"/>
  <c r="M24" i="2" s="1"/>
  <c r="K25" i="2" l="1"/>
  <c r="M23" i="2"/>
  <c r="M25" i="2" l="1"/>
  <c r="K26" i="2"/>
  <c r="M26" i="2" l="1"/>
  <c r="K27" i="2"/>
  <c r="K28" i="2" s="1"/>
  <c r="M28" i="2" l="1"/>
  <c r="M27" i="2"/>
  <c r="K34" i="2"/>
  <c r="K85" i="2" s="1"/>
  <c r="K38" i="2"/>
  <c r="M34" i="2" l="1"/>
  <c r="M85" i="2" s="1"/>
  <c r="M38" i="2"/>
  <c r="K39" i="2"/>
  <c r="M39" i="2" l="1"/>
  <c r="K40" i="2"/>
  <c r="M40" i="2" l="1"/>
  <c r="K41" i="2"/>
  <c r="M41" i="2" l="1"/>
  <c r="M46" i="2" s="1"/>
  <c r="M86" i="2" s="1"/>
  <c r="K50" i="2"/>
  <c r="N58" i="2" s="1"/>
  <c r="K46" i="2"/>
  <c r="K86" i="2" s="1"/>
  <c r="K54" i="2" l="1"/>
  <c r="M54" i="2" s="1"/>
  <c r="M50" i="2"/>
  <c r="K55" i="2" l="1"/>
  <c r="M55" i="2" s="1"/>
  <c r="K58" i="2" l="1"/>
  <c r="M58" i="2" s="1"/>
  <c r="K59" i="2" l="1"/>
  <c r="M59" i="2" s="1"/>
  <c r="K60" i="2"/>
  <c r="M60" i="2" l="1"/>
  <c r="M61" i="2" s="1"/>
  <c r="M87" i="2" s="1"/>
  <c r="M90" i="2" s="1"/>
  <c r="C79" i="2" s="1"/>
  <c r="I79" i="2" s="1"/>
  <c r="K61" i="2"/>
  <c r="K87" i="2" s="1"/>
  <c r="K90" i="2" s="1"/>
  <c r="K92" i="2" s="1"/>
  <c r="I80" i="2" l="1"/>
  <c r="I91" i="2" s="1"/>
  <c r="M79" i="2"/>
  <c r="M80" i="2" s="1"/>
  <c r="I92" i="2" l="1"/>
  <c r="M91" i="2"/>
  <c r="M92" i="2" s="1"/>
</calcChain>
</file>

<file path=xl/sharedStrings.xml><?xml version="1.0" encoding="utf-8"?>
<sst xmlns="http://schemas.openxmlformats.org/spreadsheetml/2006/main" count="438" uniqueCount="157">
  <si>
    <t>Tarif non membre</t>
  </si>
  <si>
    <t>Tarif après rabais</t>
  </si>
  <si>
    <t>Post prod image</t>
  </si>
  <si>
    <t>Jour</t>
  </si>
  <si>
    <t>Nuit</t>
  </si>
  <si>
    <t>Assistanat montage off-line</t>
  </si>
  <si>
    <t>Montage on-line (conform, génériques, intégration ss-titres, …)</t>
  </si>
  <si>
    <t>Colorisation</t>
  </si>
  <si>
    <t>Exploration en art numérique (VR)</t>
  </si>
  <si>
    <t>Visionnement - Salle de colorisation (projection 2K, écran 154'')</t>
  </si>
  <si>
    <t>Visionnement - Salle de mixage (projection 4K, écran 220")</t>
  </si>
  <si>
    <t>Post prod sonore</t>
  </si>
  <si>
    <t>Enregistrement - voix, musique, bruitage (sans accessoires)</t>
  </si>
  <si>
    <t>Exploration sonore (Labo)</t>
  </si>
  <si>
    <t>Mixage - cinéma</t>
  </si>
  <si>
    <t>Mixage - musique et installations</t>
  </si>
  <si>
    <t>Spatialisation VR</t>
  </si>
  <si>
    <t>Livrables son</t>
  </si>
  <si>
    <t>Livrables</t>
  </si>
  <si>
    <t>Transferts et numérisations</t>
  </si>
  <si>
    <t>Archivage LTO</t>
  </si>
  <si>
    <t>Petit</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</si>
  <si>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</si>
  <si>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</si>
  <si>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</si>
  <si>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</si>
  <si>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</si>
  <si>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</si>
  <si>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</si>
  <si>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</si>
  <si>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</si>
  <si>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</si>
  <si>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Conception et montage sonore (sans banque de sons)</t>
  </si>
  <si>
    <t>Technicien·ne·s</t>
  </si>
  <si>
    <t>Coloriste</t>
  </si>
  <si>
    <t>Monteur·euse</t>
  </si>
  <si>
    <t>Assistant·e montage off-line</t>
  </si>
  <si>
    <t>Mixeur·euse / technicien·ne audio</t>
  </si>
  <si>
    <t>Technicien vidéo (transferts)</t>
  </si>
  <si>
    <t>Équipement</t>
  </si>
  <si>
    <t>Journée</t>
  </si>
  <si>
    <t>Fin de semaine</t>
  </si>
  <si>
    <t>Semaine</t>
  </si>
  <si>
    <t>Mois</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</si>
  <si>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</si>
  <si>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</si>
  <si>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</si>
  <si>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</si>
  <si>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</si>
  <si>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</si>
  <si>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</si>
  <si>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</si>
  <si>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</si>
  <si>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</si>
  <si>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</si>
  <si>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</si>
  <si>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</si>
  <si>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</si>
  <si>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</si>
  <si>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</si>
  <si>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</si>
  <si>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</si>
  <si>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</si>
  <si>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</si>
  <si>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</si>
  <si>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</si>
  <si>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</si>
  <si>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</si>
  <si>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</si>
  <si>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</si>
  <si>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</si>
  <si>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</si>
  <si>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</si>
  <si>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</si>
  <si>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</si>
  <si>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</si>
  <si>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</si>
  <si>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</si>
  <si>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</si>
  <si>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</si>
  <si>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</si>
  <si>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Programme d'aide</t>
  </si>
  <si>
    <t>Tarif non-membre</t>
  </si>
  <si>
    <t>Tarif membre</t>
  </si>
  <si>
    <t>Aide à la création</t>
  </si>
  <si>
    <t>Recherche et exploration</t>
  </si>
  <si>
    <t>Aide aux organismes</t>
  </si>
  <si>
    <t>Aide à la diffusion</t>
  </si>
  <si>
    <t>Résidence et prix</t>
  </si>
  <si>
    <t>Part tech</t>
  </si>
  <si>
    <t>Part machine</t>
  </si>
  <si>
    <t>DVD-R</t>
  </si>
  <si>
    <t>Blu-Ray</t>
  </si>
  <si>
    <t>Clé USB 3.0 - 128Gb</t>
  </si>
  <si>
    <t>Kit DCP (malette + disque dur 256gb)</t>
  </si>
  <si>
    <t>Cartouche LTO 6</t>
  </si>
  <si>
    <t>ESTIMATION DES BESOINS TECHNIQUES</t>
  </si>
  <si>
    <t>Indiquer la durée de l'œuvre</t>
  </si>
  <si>
    <t>minutes</t>
  </si>
  <si>
    <t xml:space="preserve">Titre du projet </t>
  </si>
  <si>
    <t>LOCATION D'ÉQUIPEMENTS DE TOURNAGE</t>
  </si>
  <si>
    <t>Commentaires</t>
  </si>
  <si>
    <t>Durée de la location</t>
  </si>
  <si>
    <t>Tarif</t>
  </si>
  <si>
    <t>Coût d'utilisation</t>
  </si>
  <si>
    <t>Aide de PRIM</t>
  </si>
  <si>
    <t>Quantité</t>
  </si>
  <si>
    <t>Unité</t>
  </si>
  <si>
    <t>x</t>
  </si>
  <si>
    <t>=</t>
  </si>
  <si>
    <t>-</t>
  </si>
  <si>
    <t>TOTAL LOCATION ÉQUIPEMENTS DE TOURNAGE</t>
  </si>
  <si>
    <t>POSTPRODUCTION IMAGE</t>
  </si>
  <si>
    <t>Tarif soir et WE</t>
  </si>
  <si>
    <t>Nbre d'heures</t>
  </si>
  <si>
    <t>Tarif
($/h)</t>
  </si>
  <si>
    <t>Studios et équipements</t>
  </si>
  <si>
    <t>Honoraires des techniciens</t>
  </si>
  <si>
    <t>TOTAL POSTPRODUCTION IMAGE</t>
  </si>
  <si>
    <t>POSTPRODUCTION SONORE</t>
  </si>
  <si>
    <t>TOTAL POSTPRODUCTION SONORE</t>
  </si>
  <si>
    <t>TRANSFERTS</t>
  </si>
  <si>
    <t>Technicien·ne vidéo (transferts)</t>
  </si>
  <si>
    <t>ARCHIVAGE LTO</t>
  </si>
  <si>
    <t>Nbre</t>
  </si>
  <si>
    <t xml:space="preserve">Coût de production </t>
  </si>
  <si>
    <t>Durée</t>
  </si>
  <si>
    <t>Solde machine</t>
  </si>
  <si>
    <t>Solde tech</t>
  </si>
  <si>
    <t>TOTAL LIVRABLES ET COPIES</t>
  </si>
  <si>
    <t>SUPPORTS NUMÉRIQUES</t>
  </si>
  <si>
    <t xml:space="preserve">Tarif </t>
  </si>
  <si>
    <t>Coût</t>
  </si>
  <si>
    <t>TOTAL SUPPORTS</t>
  </si>
  <si>
    <t>AUTRES BESOINS TECHNIQUES</t>
  </si>
  <si>
    <t>TOTAL AUTRES BESOINS TECHNIQUES</t>
  </si>
  <si>
    <t>TOTAL</t>
  </si>
  <si>
    <t xml:space="preserve">Coût total </t>
  </si>
  <si>
    <t>Frais de gestion des données</t>
  </si>
  <si>
    <t>AUTRES SERVICES NON UTILISÉS EN CE MOMENT</t>
  </si>
  <si>
    <t>Enregistreur Audio Zoom H3-VR</t>
  </si>
  <si>
    <t>Support numériques</t>
  </si>
  <si>
    <t>Frais fixe</t>
  </si>
  <si>
    <t>Frais d'administration (10%)</t>
  </si>
  <si>
    <t>FRAIS D'ADMINISTRATION</t>
  </si>
  <si>
    <t>TOTAL FRAIS D'ADMINISTRATION</t>
  </si>
  <si>
    <t>Taux</t>
  </si>
  <si>
    <t>Coûts</t>
  </si>
  <si>
    <t>FRAIS D'ADMINISTRATION (10%)</t>
  </si>
  <si>
    <t>SOUS TOTAL</t>
  </si>
  <si>
    <t>Rabais</t>
  </si>
  <si>
    <t>Taux après rabais</t>
  </si>
  <si>
    <t>Unités</t>
  </si>
  <si>
    <t>Doc à risque</t>
  </si>
  <si>
    <t>Montage image</t>
  </si>
  <si>
    <t>Édition sonore</t>
  </si>
  <si>
    <t>Cet outil a pour but d'aider les candidat·e·s à la résidence PRIM / MAI à calculer leur budget de façon autonome. Il ne constitue pas un engagement de PRIM ou du MAI.  
Si le projet est accepté, une évalution plus précise sera réalisée par PRIM en début de résidence. Tarifs à partir du 1er janvier 2024. Tarifs sujets à changement.
MONTANT MAXIMUM DE L'AIDE DE PRIM :  8 000$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</si>
</sst>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_);[Red]\(#,##0\ &quot;$&quot;\)"/>
    <numFmt numFmtId="44" formatCode="_ * #,##0.00_)\ &quot;$&quot;_ ;_ * \(#,##0.00\)\ &quot;$&quot;_ ;_ * &quot;-&quot;??_)\ &quot;$&quot;_ ;_ @_ "/>
    <numFmt numFmtId="164" formatCode="#,##0\ &quot;$&quot;"/>
    <numFmt numFmtId="165" formatCode="#,##0.00\ &quot;$&quot;"/>
    <numFmt numFmtId="166" formatCode="_ * #,##0_)\ &quot;$&quot;_ ;_ * \(#,##0\)\ &quot;$&quot;_ ;_ * &quot;-&quot;??_)\ &quot;$&quot;_ ;_ @_ "/>
    <numFmt numFmtId="167" formatCode="_-* #,##0.00\ _€_-;\-* #,##0.00\ _€_-;_-* &quot;-&quot;??\ _€_-;_-@"/>
  </numFmts>
  <fonts count="46" x14ac:knownFonts="1">
    <font>
      <sz val="11"/>
      <color theme="1"/>
      <name val="Calibri"/>
      <scheme val="minor"/>
    </font>
    <font>
      <sz val="11"/>
      <color theme="1"/>
      <name val="Calibri"/>
      <family val="2"/>
      <scheme val="minor"/>
    </font>
    <font>
      <sz val="11"/>
      <color theme="1"/>
      <name val="Calibri"/>
      <family val="2"/>
    </font>
    <font>
      <sz val="11"/>
      <name val="Calibri"/>
      <family val="2"/>
    </font>
    <font>
      <sz val="10"/>
      <color theme="0"/>
      <name val="Arial"/>
      <family val="2"/>
    </font>
    <font>
      <sz val="11"/>
      <color theme="1"/>
      <name val="Calibri"/>
      <family val="2"/>
      <scheme val="minor"/>
    </font>
    <font>
      <sz val="10"/>
      <color theme="1"/>
      <name val="Arial"/>
      <family val="2"/>
    </font>
    <font>
      <sz val="9"/>
      <color theme="1"/>
      <name val="Arial"/>
      <family val="2"/>
    </font>
    <font>
      <b/>
      <sz val="10"/>
      <color theme="1"/>
      <name val="Arial"/>
      <family val="2"/>
    </font>
    <font>
      <sz val="11"/>
      <color rgb="FF000000"/>
      <name val="Calibri"/>
      <family val="2"/>
    </font>
    <font>
      <sz val="11"/>
      <color theme="1"/>
      <name val="Arial"/>
      <family val="2"/>
    </font>
    <font>
      <sz val="12"/>
      <color theme="1"/>
      <name val="Arial"/>
      <family val="2"/>
    </font>
    <font>
      <b/>
      <sz val="9"/>
      <color theme="0"/>
      <name val="Arial"/>
      <family val="2"/>
    </font>
    <font>
      <sz val="9"/>
      <color theme="0"/>
      <name val="Arial"/>
      <family val="2"/>
    </font>
    <font>
      <b/>
      <sz val="13"/>
      <color theme="1"/>
      <name val="Arial Black"/>
      <family val="2"/>
    </font>
    <font>
      <b/>
      <sz val="11"/>
      <color theme="1"/>
      <name val="Arial"/>
      <family val="2"/>
    </font>
    <font>
      <i/>
      <sz val="11"/>
      <color theme="1"/>
      <name val="Arial"/>
      <family val="2"/>
    </font>
    <font>
      <sz val="10"/>
      <color theme="0"/>
      <name val="Arial Black"/>
      <family val="2"/>
    </font>
    <font>
      <b/>
      <sz val="10"/>
      <color theme="0"/>
      <name val="Arial"/>
      <family val="2"/>
    </font>
    <font>
      <sz val="10"/>
      <color rgb="FF4B5AA5"/>
      <name val="Arial Black"/>
      <family val="2"/>
    </font>
    <font>
      <i/>
      <sz val="10"/>
      <color theme="1"/>
      <name val="Arial"/>
      <family val="2"/>
    </font>
    <font>
      <sz val="10"/>
      <color rgb="FFFEDEDE"/>
      <name val="Arial"/>
      <family val="2"/>
    </font>
    <font>
      <sz val="9"/>
      <color rgb="FFF9A5A5"/>
      <name val="Arial"/>
      <family val="2"/>
    </font>
    <font>
      <sz val="10"/>
      <color rgb="FFEB4B4B"/>
      <name val="Arial Black"/>
      <family val="2"/>
    </font>
    <font>
      <sz val="10"/>
      <color rgb="FFFFFFE7"/>
      <name val="Arial"/>
      <family val="2"/>
    </font>
    <font>
      <sz val="9"/>
      <color rgb="FFFFEFC3"/>
      <name val="Arial"/>
      <family val="2"/>
    </font>
    <font>
      <sz val="10"/>
      <color rgb="FFD7B964"/>
      <name val="Arial Black"/>
      <family val="2"/>
    </font>
    <font>
      <b/>
      <sz val="10"/>
      <color theme="0"/>
      <name val="Arial Black"/>
      <family val="2"/>
    </font>
    <font>
      <b/>
      <sz val="9"/>
      <color theme="0"/>
      <name val="Arial Black"/>
      <family val="2"/>
    </font>
    <font>
      <sz val="10"/>
      <color rgb="FFC3AAD2"/>
      <name val="Arial Black"/>
      <family val="2"/>
    </font>
    <font>
      <sz val="10"/>
      <color rgb="FF9BB4C8"/>
      <name val="Arial Black"/>
      <family val="2"/>
    </font>
    <font>
      <sz val="10"/>
      <color rgb="FFA09B9B"/>
      <name val="Arial Black"/>
      <family val="2"/>
    </font>
    <font>
      <b/>
      <sz val="15"/>
      <color theme="0"/>
      <name val="Arial Black"/>
      <family val="2"/>
    </font>
    <font>
      <b/>
      <sz val="15"/>
      <color theme="0"/>
      <name val="Arial"/>
      <family val="2"/>
    </font>
    <font>
      <sz val="12"/>
      <color theme="1"/>
      <name val="Arial Black"/>
      <family val="2"/>
    </font>
    <font>
      <b/>
      <sz val="12"/>
      <color theme="1"/>
      <name val="Arial"/>
      <family val="2"/>
    </font>
    <font>
      <i/>
      <sz val="10"/>
      <color rgb="FF000000"/>
      <name val="Arial"/>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9"/>
      <name val="Arial"/>
      <family val="2"/>
    </font>
    <font>
      <i/>
      <sz val="9"/>
      <color theme="1"/>
      <name val="Arial"/>
      <family val="2"/>
    </font>
    <font>
      <sz val="9"/>
      <name val="Calibri"/>
      <family val="2"/>
    </font>
    <font>
      <b/>
      <sz val="10"/>
      <color rgb="FFFF0000"/>
      <name val="Arial"/>
      <family val="2"/>
    </font>
    <font>
      <b/>
      <sz val="11"/>
      <color rgb="FFFF0000"/>
      <name val="Calibri"/>
      <family val="2"/>
      <scheme val="minor"/>
    </font>
  </fonts>
  <fills count="40">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4B5AA5"/>
        <bgColor rgb="FF4B5AA5"/>
      </patternFill>
    </fill>
    <fill>
      <patternFill patternType="solid">
        <fgColor rgb="FFCCDFEE"/>
        <bgColor rgb="FFCCDFEE"/>
      </patternFill>
    </fill>
    <fill>
      <patternFill patternType="solid">
        <fgColor rgb="FFACC4D8"/>
        <bgColor rgb="FFACC4D8"/>
      </patternFill>
    </fill>
    <fill>
      <patternFill patternType="solid">
        <fgColor rgb="FFEB4B4B"/>
        <bgColor rgb="FFEB4B4B"/>
      </patternFill>
    </fill>
    <fill>
      <patternFill patternType="solid">
        <fgColor rgb="FFFEDEDE"/>
        <bgColor rgb="FFFEDEDE"/>
      </patternFill>
    </fill>
    <fill>
      <patternFill patternType="solid">
        <fgColor rgb="FFF9A5A5"/>
        <bgColor rgb="FFF9A5A5"/>
      </patternFill>
    </fill>
    <fill>
      <patternFill patternType="solid">
        <fgColor rgb="FF366092"/>
        <bgColor rgb="FF366092"/>
      </patternFill>
    </fill>
    <fill>
      <patternFill patternType="solid">
        <fgColor rgb="FFD7B964"/>
        <bgColor rgb="FFD7B964"/>
      </patternFill>
    </fill>
    <fill>
      <patternFill patternType="solid">
        <fgColor rgb="FFFFFFE7"/>
        <bgColor rgb="FFFFFFE7"/>
      </patternFill>
    </fill>
    <fill>
      <patternFill patternType="solid">
        <fgColor rgb="FFFFEFC3"/>
        <bgColor rgb="FFFFEFC3"/>
      </patternFill>
    </fill>
    <fill>
      <patternFill patternType="solid">
        <fgColor rgb="FFFFFFE6"/>
        <bgColor rgb="FFFFFFE6"/>
      </patternFill>
    </fill>
    <fill>
      <patternFill patternType="solid">
        <fgColor rgb="FFC3AAD2"/>
        <bgColor rgb="FFC3AAD2"/>
      </patternFill>
    </fill>
    <fill>
      <patternFill patternType="solid">
        <fgColor rgb="FFDDCDE7"/>
        <bgColor rgb="FFDDCDE7"/>
      </patternFill>
    </fill>
    <fill>
      <patternFill patternType="solid">
        <fgColor rgb="FF9BB4C8"/>
        <bgColor rgb="FF9BB4C8"/>
      </patternFill>
    </fill>
    <fill>
      <patternFill patternType="solid">
        <fgColor rgb="FFE8F1F8"/>
        <bgColor rgb="FFE8F1F8"/>
      </patternFill>
    </fill>
    <fill>
      <patternFill patternType="solid">
        <fgColor rgb="FFBED4E6"/>
        <bgColor rgb="FFBED4E6"/>
      </patternFill>
    </fill>
    <fill>
      <patternFill patternType="solid">
        <fgColor rgb="FFA09B9B"/>
        <bgColor rgb="FFA09B9B"/>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1"/>
        <bgColor indexed="64"/>
      </patternFill>
    </fill>
    <fill>
      <patternFill patternType="solid">
        <fgColor theme="0" tint="-0.14999847407452621"/>
        <bgColor rgb="FFF9A5A5"/>
      </patternFill>
    </fill>
    <fill>
      <patternFill patternType="solid">
        <fgColor rgb="FF0070C0"/>
        <bgColor rgb="FFA09B9B"/>
      </patternFill>
    </fill>
    <fill>
      <patternFill patternType="solid">
        <fgColor rgb="FF0070C0"/>
        <bgColor indexed="64"/>
      </patternFill>
    </fill>
    <fill>
      <patternFill patternType="solid">
        <fgColor theme="4" tint="0.39997558519241921"/>
        <bgColor rgb="FFBFBFBF"/>
      </patternFill>
    </fill>
    <fill>
      <patternFill patternType="solid">
        <fgColor theme="4" tint="0.39997558519241921"/>
        <bgColor indexed="64"/>
      </patternFill>
    </fill>
    <fill>
      <patternFill patternType="solid">
        <fgColor theme="4" tint="0.79998168889431442"/>
        <bgColor rgb="FFF0F0F0"/>
      </patternFill>
    </fill>
    <fill>
      <patternFill patternType="solid">
        <fgColor theme="4" tint="0.79998168889431442"/>
        <bgColor indexed="64"/>
      </patternFill>
    </fill>
    <fill>
      <patternFill patternType="solid">
        <fgColor theme="0" tint="-0.14999847407452621"/>
        <bgColor theme="0"/>
      </patternFill>
    </fill>
  </fills>
  <borders count="68">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diagonal/>
    </border>
    <border>
      <left/>
      <right/>
      <top style="hair">
        <color rgb="FF000000"/>
      </top>
      <bottom/>
      <diagonal/>
    </border>
    <border>
      <left style="medium">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right style="hair">
        <color rgb="FF000000"/>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style="double">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000000"/>
      </left>
      <right style="medium">
        <color rgb="FF000000"/>
      </right>
      <top/>
      <bottom style="medium">
        <color rgb="FF000000"/>
      </bottom>
      <diagonal/>
    </border>
    <border>
      <left style="thin">
        <color auto="1"/>
      </left>
      <right/>
      <top/>
      <bottom/>
      <diagonal/>
    </border>
    <border>
      <left style="medium">
        <color auto="1"/>
      </left>
      <right/>
      <top style="thin">
        <color auto="1"/>
      </top>
      <bottom/>
      <diagonal/>
    </border>
    <border>
      <left/>
      <right/>
      <top/>
      <bottom style="thin">
        <color indexed="64"/>
      </bottom>
      <diagonal/>
    </border>
    <border>
      <left/>
      <right/>
      <top/>
      <bottom style="double">
        <color indexed="64"/>
      </bottom>
      <diagonal/>
    </border>
    <border>
      <left style="hair">
        <color rgb="FF000000"/>
      </left>
      <right style="hair">
        <color rgb="FF000000"/>
      </right>
      <top/>
      <bottom style="double">
        <color indexed="64"/>
      </bottom>
      <diagonal/>
    </border>
    <border>
      <left style="hair">
        <color rgb="FF000000"/>
      </left>
      <right/>
      <top/>
      <bottom style="double">
        <color indexed="64"/>
      </bottom>
      <diagonal/>
    </border>
    <border>
      <left/>
      <right style="hair">
        <color rgb="FF000000"/>
      </right>
      <top/>
      <bottom style="double">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37" fillId="0" borderId="0" applyFont="0" applyFill="0" applyBorder="0" applyAlignment="0" applyProtection="0"/>
    <xf numFmtId="0" fontId="1" fillId="0" borderId="45"/>
    <xf numFmtId="44" fontId="1" fillId="0" borderId="45" applyFont="0" applyFill="0" applyBorder="0" applyAlignment="0" applyProtection="0"/>
    <xf numFmtId="9" fontId="1" fillId="0" borderId="45" applyFont="0" applyFill="0" applyBorder="0" applyAlignment="0" applyProtection="0"/>
    <xf numFmtId="0" fontId="38" fillId="28" borderId="45" applyNumberFormat="0" applyBorder="0" applyAlignment="0" applyProtection="0"/>
    <xf numFmtId="0" fontId="39" fillId="29" borderId="45" applyNumberFormat="0" applyBorder="0" applyAlignment="0" applyProtection="0"/>
  </cellStyleXfs>
  <cellXfs count="352">
    <xf numFmtId="0" fontId="0" fillId="0" borderId="0" xfId="0"/>
    <xf numFmtId="0" fontId="2" fillId="0" borderId="1" xfId="0" applyFont="1" applyBorder="1"/>
    <xf numFmtId="0" fontId="4" fillId="2" borderId="2" xfId="0" applyFont="1" applyFill="1" applyBorder="1"/>
    <xf numFmtId="0" fontId="4" fillId="2" borderId="3" xfId="0" applyFont="1" applyFill="1" applyBorder="1"/>
    <xf numFmtId="0" fontId="4" fillId="2" borderId="4" xfId="0" applyFont="1" applyFill="1" applyBorder="1"/>
    <xf numFmtId="0" fontId="5" fillId="0" borderId="0" xfId="0" applyFont="1"/>
    <xf numFmtId="164" fontId="6" fillId="3" borderId="5" xfId="0" applyNumberFormat="1" applyFont="1" applyFill="1" applyBorder="1" applyAlignment="1">
      <alignment horizontal="center"/>
    </xf>
    <xf numFmtId="164" fontId="6" fillId="3" borderId="6" xfId="0" applyNumberFormat="1" applyFont="1" applyFill="1" applyBorder="1" applyAlignment="1">
      <alignment horizontal="center"/>
    </xf>
    <xf numFmtId="165" fontId="6" fillId="3" borderId="7" xfId="0" applyNumberFormat="1" applyFont="1" applyFill="1" applyBorder="1" applyAlignment="1">
      <alignment horizontal="center"/>
    </xf>
    <xf numFmtId="0" fontId="6" fillId="3" borderId="7" xfId="0" quotePrefix="1" applyFont="1" applyFill="1" applyBorder="1" applyAlignment="1">
      <alignment horizontal="left"/>
    </xf>
    <xf numFmtId="164" fontId="6" fillId="3" borderId="8" xfId="0" applyNumberFormat="1" applyFont="1" applyFill="1" applyBorder="1" applyAlignment="1">
      <alignment horizontal="center"/>
    </xf>
    <xf numFmtId="0" fontId="6" fillId="3" borderId="9" xfId="0" quotePrefix="1" applyFont="1" applyFill="1" applyBorder="1" applyAlignment="1">
      <alignment horizontal="left"/>
    </xf>
    <xf numFmtId="164" fontId="6" fillId="3" borderId="10" xfId="0" applyNumberFormat="1" applyFont="1" applyFill="1" applyBorder="1" applyAlignment="1">
      <alignment horizontal="center"/>
    </xf>
    <xf numFmtId="0" fontId="6" fillId="3" borderId="11" xfId="0" quotePrefix="1" applyFont="1" applyFill="1" applyBorder="1" applyAlignment="1">
      <alignment horizontal="left"/>
    </xf>
    <xf numFmtId="0" fontId="6" fillId="3" borderId="12" xfId="0" quotePrefix="1" applyFont="1" applyFill="1" applyBorder="1" applyAlignment="1">
      <alignment horizontal="left"/>
    </xf>
    <xf numFmtId="164" fontId="6" fillId="3" borderId="13" xfId="0" applyNumberFormat="1" applyFont="1" applyFill="1" applyBorder="1" applyAlignment="1">
      <alignment horizontal="center"/>
    </xf>
    <xf numFmtId="0" fontId="6" fillId="3" borderId="14" xfId="0" quotePrefix="1" applyFont="1" applyFill="1" applyBorder="1" applyAlignment="1">
      <alignment horizontal="left"/>
    </xf>
    <xf numFmtId="164" fontId="6" fillId="3" borderId="15" xfId="0" applyNumberFormat="1" applyFont="1" applyFill="1" applyBorder="1" applyAlignment="1">
      <alignment horizontal="center"/>
    </xf>
    <xf numFmtId="164" fontId="6" fillId="4" borderId="6" xfId="0" applyNumberFormat="1" applyFont="1" applyFill="1" applyBorder="1" applyAlignment="1">
      <alignment horizontal="center"/>
    </xf>
    <xf numFmtId="165" fontId="6" fillId="4" borderId="8" xfId="0" applyNumberFormat="1" applyFont="1" applyFill="1" applyBorder="1" applyAlignment="1">
      <alignment horizontal="center"/>
    </xf>
    <xf numFmtId="0" fontId="2" fillId="0" borderId="0" xfId="0" quotePrefix="1" applyFont="1"/>
    <xf numFmtId="0" fontId="7" fillId="5" borderId="13" xfId="0" applyFont="1" applyFill="1" applyBorder="1" applyAlignment="1">
      <alignment vertical="center" wrapText="1"/>
    </xf>
    <xf numFmtId="164" fontId="2" fillId="0" borderId="0" xfId="0" applyNumberFormat="1" applyFont="1"/>
    <xf numFmtId="0" fontId="7" fillId="6" borderId="13" xfId="0" applyFont="1" applyFill="1" applyBorder="1" applyAlignment="1">
      <alignment vertical="center" wrapText="1"/>
    </xf>
    <xf numFmtId="0" fontId="7" fillId="7" borderId="16" xfId="0" applyFont="1" applyFill="1" applyBorder="1" applyAlignment="1">
      <alignment vertical="center" wrapText="1"/>
    </xf>
    <xf numFmtId="0" fontId="6" fillId="3" borderId="13" xfId="0" applyFont="1" applyFill="1" applyBorder="1"/>
    <xf numFmtId="0" fontId="6" fillId="0" borderId="0" xfId="0" applyFont="1"/>
    <xf numFmtId="0" fontId="4" fillId="2" borderId="17" xfId="0" applyFont="1" applyFill="1" applyBorder="1"/>
    <xf numFmtId="0" fontId="6" fillId="3" borderId="18" xfId="0" applyFont="1" applyFill="1" applyBorder="1"/>
    <xf numFmtId="164" fontId="6" fillId="3" borderId="19" xfId="0" applyNumberFormat="1" applyFont="1" applyFill="1" applyBorder="1" applyAlignment="1">
      <alignment horizontal="center"/>
    </xf>
    <xf numFmtId="0" fontId="6" fillId="3" borderId="11" xfId="0" applyFont="1" applyFill="1" applyBorder="1"/>
    <xf numFmtId="164" fontId="6" fillId="3" borderId="20" xfId="0" applyNumberFormat="1" applyFont="1" applyFill="1" applyBorder="1" applyAlignment="1">
      <alignment horizontal="center"/>
    </xf>
    <xf numFmtId="0" fontId="6" fillId="3" borderId="14" xfId="0" applyFont="1" applyFill="1" applyBorder="1"/>
    <xf numFmtId="164" fontId="6" fillId="3" borderId="21" xfId="0" applyNumberFormat="1" applyFont="1" applyFill="1" applyBorder="1" applyAlignment="1">
      <alignment horizontal="center"/>
    </xf>
    <xf numFmtId="164" fontId="4" fillId="2" borderId="17" xfId="0" applyNumberFormat="1" applyFont="1" applyFill="1" applyBorder="1" applyAlignment="1">
      <alignment horizontal="center"/>
    </xf>
    <xf numFmtId="0" fontId="8" fillId="8" borderId="2" xfId="0" applyFont="1" applyFill="1" applyBorder="1" applyAlignment="1">
      <alignment vertical="center" wrapText="1"/>
    </xf>
    <xf numFmtId="6" fontId="6" fillId="8" borderId="3" xfId="0" applyNumberFormat="1" applyFont="1" applyFill="1" applyBorder="1" applyAlignment="1">
      <alignment horizontal="center" vertical="center" wrapText="1"/>
    </xf>
    <xf numFmtId="164" fontId="6" fillId="8" borderId="13" xfId="0" applyNumberFormat="1" applyFont="1" applyFill="1" applyBorder="1" applyAlignment="1">
      <alignment horizontal="center" vertical="center" wrapText="1"/>
    </xf>
    <xf numFmtId="164" fontId="6" fillId="8" borderId="3" xfId="0" applyNumberFormat="1" applyFont="1" applyFill="1" applyBorder="1" applyAlignment="1">
      <alignment horizontal="center" vertical="center" wrapText="1"/>
    </xf>
    <xf numFmtId="164" fontId="6" fillId="8" borderId="17" xfId="0" applyNumberFormat="1" applyFont="1" applyFill="1" applyBorder="1" applyAlignment="1">
      <alignment horizontal="center" vertical="center" wrapText="1"/>
    </xf>
    <xf numFmtId="164" fontId="6" fillId="8" borderId="8" xfId="0" applyNumberFormat="1" applyFont="1" applyFill="1" applyBorder="1" applyAlignment="1">
      <alignment horizontal="center" vertical="center"/>
    </xf>
    <xf numFmtId="164" fontId="6" fillId="8" borderId="5" xfId="0" applyNumberFormat="1" applyFont="1" applyFill="1" applyBorder="1" applyAlignment="1">
      <alignment horizontal="center" vertical="center" wrapText="1"/>
    </xf>
    <xf numFmtId="0" fontId="8" fillId="9" borderId="9" xfId="0" applyFont="1" applyFill="1" applyBorder="1" applyAlignment="1">
      <alignment vertical="center" wrapText="1"/>
    </xf>
    <xf numFmtId="6" fontId="6" fillId="9" borderId="5" xfId="0" applyNumberFormat="1" applyFont="1" applyFill="1" applyBorder="1" applyAlignment="1">
      <alignment horizontal="center" vertical="center" wrapText="1"/>
    </xf>
    <xf numFmtId="164" fontId="6" fillId="9" borderId="5" xfId="0" applyNumberFormat="1" applyFont="1" applyFill="1" applyBorder="1" applyAlignment="1">
      <alignment horizontal="center" vertical="center" wrapText="1"/>
    </xf>
    <xf numFmtId="164" fontId="6" fillId="9" borderId="22" xfId="0" applyNumberFormat="1" applyFont="1" applyFill="1" applyBorder="1" applyAlignment="1">
      <alignment horizontal="center" vertical="center" wrapText="1"/>
    </xf>
    <xf numFmtId="164" fontId="6" fillId="9" borderId="8" xfId="0" applyNumberFormat="1" applyFont="1" applyFill="1" applyBorder="1" applyAlignment="1">
      <alignment horizontal="center" vertical="center"/>
    </xf>
    <xf numFmtId="6" fontId="6" fillId="9" borderId="13" xfId="0" applyNumberFormat="1" applyFont="1" applyFill="1" applyBorder="1" applyAlignment="1">
      <alignment horizontal="center" vertical="center" wrapText="1"/>
    </xf>
    <xf numFmtId="0" fontId="8" fillId="10" borderId="9" xfId="0" applyFont="1" applyFill="1" applyBorder="1" applyAlignment="1">
      <alignment vertical="center" wrapText="1"/>
    </xf>
    <xf numFmtId="6" fontId="6" fillId="10" borderId="3" xfId="0" applyNumberFormat="1" applyFont="1" applyFill="1" applyBorder="1" applyAlignment="1">
      <alignment horizontal="center" vertical="center" wrapText="1"/>
    </xf>
    <xf numFmtId="164" fontId="6" fillId="10" borderId="5" xfId="0" applyNumberFormat="1" applyFont="1" applyFill="1" applyBorder="1" applyAlignment="1">
      <alignment horizontal="center" vertical="center" wrapText="1"/>
    </xf>
    <xf numFmtId="164" fontId="6" fillId="10" borderId="22" xfId="0" applyNumberFormat="1" applyFont="1" applyFill="1" applyBorder="1" applyAlignment="1">
      <alignment horizontal="center" vertical="center" wrapText="1"/>
    </xf>
    <xf numFmtId="164" fontId="6" fillId="10" borderId="8" xfId="0" applyNumberFormat="1" applyFont="1" applyFill="1" applyBorder="1" applyAlignment="1">
      <alignment horizontal="center" vertical="center"/>
    </xf>
    <xf numFmtId="0" fontId="6" fillId="8" borderId="9" xfId="0" applyFont="1" applyFill="1" applyBorder="1" applyAlignment="1">
      <alignment vertical="center" wrapText="1"/>
    </xf>
    <xf numFmtId="164" fontId="6" fillId="8" borderId="22" xfId="0" applyNumberFormat="1" applyFont="1" applyFill="1" applyBorder="1" applyAlignment="1">
      <alignment horizontal="center" vertical="center" wrapText="1"/>
    </xf>
    <xf numFmtId="0" fontId="6" fillId="8" borderId="11" xfId="0" applyFont="1" applyFill="1" applyBorder="1" applyAlignment="1">
      <alignment vertical="center" wrapText="1"/>
    </xf>
    <xf numFmtId="0" fontId="6" fillId="8" borderId="12" xfId="0" applyFont="1" applyFill="1" applyBorder="1" applyAlignment="1">
      <alignment vertical="center" wrapText="1"/>
    </xf>
    <xf numFmtId="6" fontId="6" fillId="8" borderId="5" xfId="0" applyNumberFormat="1" applyFont="1" applyFill="1" applyBorder="1" applyAlignment="1">
      <alignment horizontal="center" vertical="center" wrapText="1"/>
    </xf>
    <xf numFmtId="6" fontId="6" fillId="8" borderId="10" xfId="0" applyNumberFormat="1" applyFont="1" applyFill="1" applyBorder="1" applyAlignment="1">
      <alignment horizontal="center" vertical="center" wrapText="1"/>
    </xf>
    <xf numFmtId="0" fontId="6" fillId="8" borderId="23" xfId="0" applyFont="1" applyFill="1" applyBorder="1" applyAlignment="1">
      <alignment vertical="center" wrapText="1"/>
    </xf>
    <xf numFmtId="0" fontId="6" fillId="8" borderId="13" xfId="0" applyFont="1" applyFill="1" applyBorder="1" applyAlignment="1">
      <alignment vertical="center" wrapText="1"/>
    </xf>
    <xf numFmtId="0" fontId="6" fillId="9" borderId="11" xfId="0" applyFont="1" applyFill="1" applyBorder="1" applyAlignment="1">
      <alignment vertical="center" wrapText="1"/>
    </xf>
    <xf numFmtId="6" fontId="6" fillId="9" borderId="10" xfId="0" applyNumberFormat="1" applyFont="1" applyFill="1" applyBorder="1" applyAlignment="1">
      <alignment horizontal="center" vertical="center" wrapText="1"/>
    </xf>
    <xf numFmtId="0" fontId="6" fillId="10" borderId="9" xfId="0" applyFont="1" applyFill="1" applyBorder="1" applyAlignment="1">
      <alignment vertical="center" wrapText="1"/>
    </xf>
    <xf numFmtId="0" fontId="6" fillId="3" borderId="13" xfId="0" applyFont="1" applyFill="1" applyBorder="1" applyAlignment="1">
      <alignment horizontal="left" vertical="center" wrapText="1"/>
    </xf>
    <xf numFmtId="0" fontId="9" fillId="0" borderId="0" xfId="0" applyFont="1" applyAlignment="1">
      <alignment horizontal="left"/>
    </xf>
    <xf numFmtId="9" fontId="2" fillId="0" borderId="0" xfId="0" applyNumberFormat="1" applyFont="1"/>
    <xf numFmtId="0" fontId="2" fillId="0" borderId="0" xfId="0" applyFont="1"/>
    <xf numFmtId="0" fontId="10" fillId="0" borderId="0" xfId="0" applyFont="1"/>
    <xf numFmtId="0" fontId="8" fillId="0" borderId="0" xfId="0" applyFont="1"/>
    <xf numFmtId="0" fontId="8" fillId="0" borderId="0" xfId="0" applyFont="1" applyAlignment="1">
      <alignment horizontal="right"/>
    </xf>
    <xf numFmtId="0" fontId="8" fillId="0" borderId="0" xfId="0" applyFont="1" applyAlignment="1">
      <alignment vertical="center"/>
    </xf>
    <xf numFmtId="0" fontId="6" fillId="0" borderId="0" xfId="0" applyFont="1" applyAlignment="1">
      <alignment horizontal="right"/>
    </xf>
    <xf numFmtId="0" fontId="4" fillId="0" borderId="0" xfId="0" applyFont="1"/>
    <xf numFmtId="44" fontId="6" fillId="0" borderId="0" xfId="0" applyNumberFormat="1" applyFont="1"/>
    <xf numFmtId="0" fontId="11" fillId="0" borderId="0" xfId="0" applyFont="1"/>
    <xf numFmtId="0" fontId="8" fillId="0" borderId="0" xfId="0" applyFont="1" applyAlignment="1">
      <alignment horizontal="right" vertical="center"/>
    </xf>
    <xf numFmtId="0" fontId="4" fillId="3" borderId="13" xfId="0" applyFont="1" applyFill="1" applyBorder="1" applyAlignment="1">
      <alignment vertical="center" wrapText="1"/>
    </xf>
    <xf numFmtId="44" fontId="6" fillId="3" borderId="13" xfId="0" applyNumberFormat="1" applyFont="1" applyFill="1" applyBorder="1" applyAlignment="1">
      <alignment vertical="center" wrapText="1"/>
    </xf>
    <xf numFmtId="0" fontId="6" fillId="0" borderId="0" xfId="0" applyFont="1" applyAlignment="1">
      <alignment horizontal="right" vertical="center"/>
    </xf>
    <xf numFmtId="0" fontId="14" fillId="0" borderId="0" xfId="0" applyFont="1" applyAlignment="1">
      <alignment wrapText="1"/>
    </xf>
    <xf numFmtId="0" fontId="15" fillId="0" borderId="0" xfId="0" applyFont="1"/>
    <xf numFmtId="0" fontId="6" fillId="3" borderId="13" xfId="0" applyFont="1" applyFill="1" applyBorder="1" applyAlignment="1">
      <alignment wrapText="1"/>
    </xf>
    <xf numFmtId="0" fontId="6" fillId="3" borderId="13" xfId="0" applyFont="1" applyFill="1" applyBorder="1" applyAlignment="1">
      <alignment vertical="center" wrapText="1"/>
    </xf>
    <xf numFmtId="44" fontId="10" fillId="0" borderId="0" xfId="0" applyNumberFormat="1" applyFont="1"/>
    <xf numFmtId="0" fontId="8" fillId="3" borderId="13" xfId="0" applyFont="1" applyFill="1" applyBorder="1" applyAlignment="1">
      <alignment horizontal="left" wrapText="1"/>
    </xf>
    <xf numFmtId="0" fontId="10" fillId="0" borderId="0" xfId="0" applyFont="1" applyAlignment="1">
      <alignment shrinkToFit="1"/>
    </xf>
    <xf numFmtId="0" fontId="18" fillId="17" borderId="13" xfId="0" applyFont="1" applyFill="1" applyBorder="1" applyAlignment="1">
      <alignment horizontal="left" vertical="center" wrapText="1"/>
    </xf>
    <xf numFmtId="0" fontId="6" fillId="30" borderId="56" xfId="0" quotePrefix="1" applyFont="1" applyFill="1" applyBorder="1" applyAlignment="1">
      <alignment horizontal="left"/>
    </xf>
    <xf numFmtId="164" fontId="6" fillId="30" borderId="45" xfId="1" applyNumberFormat="1" applyFont="1" applyFill="1" applyBorder="1" applyAlignment="1">
      <alignment horizontal="center"/>
    </xf>
    <xf numFmtId="164" fontId="6" fillId="30" borderId="57" xfId="1" applyNumberFormat="1" applyFont="1" applyFill="1" applyBorder="1" applyAlignment="1">
      <alignment horizontal="center"/>
    </xf>
    <xf numFmtId="0" fontId="1" fillId="0" borderId="0" xfId="0" applyFont="1"/>
    <xf numFmtId="0" fontId="40" fillId="31" borderId="0" xfId="0" applyFont="1" applyFill="1"/>
    <xf numFmtId="0" fontId="0" fillId="31" borderId="0" xfId="0" applyFill="1"/>
    <xf numFmtId="0" fontId="9" fillId="31" borderId="0" xfId="0" applyFont="1" applyFill="1"/>
    <xf numFmtId="166" fontId="13" fillId="3" borderId="45" xfId="0" applyNumberFormat="1" applyFont="1" applyFill="1" applyBorder="1" applyAlignment="1">
      <alignment horizontal="right"/>
    </xf>
    <xf numFmtId="0" fontId="8" fillId="3" borderId="27" xfId="0" applyFont="1" applyFill="1" applyBorder="1" applyAlignment="1" applyProtection="1">
      <alignment horizontal="center" wrapText="1"/>
      <protection locked="0"/>
    </xf>
    <xf numFmtId="10" fontId="0" fillId="0" borderId="0" xfId="0" applyNumberFormat="1"/>
    <xf numFmtId="165" fontId="6" fillId="39" borderId="7" xfId="0" applyNumberFormat="1" applyFont="1" applyFill="1" applyBorder="1" applyAlignment="1">
      <alignment horizontal="center"/>
    </xf>
    <xf numFmtId="0" fontId="12" fillId="11" borderId="13" xfId="0" applyFont="1" applyFill="1" applyBorder="1" applyAlignment="1">
      <alignment horizontal="center" vertical="center"/>
    </xf>
    <xf numFmtId="0" fontId="12" fillId="11" borderId="13" xfId="0" applyFont="1" applyFill="1" applyBorder="1" applyAlignment="1">
      <alignment horizontal="center" vertical="center" wrapText="1"/>
    </xf>
    <xf numFmtId="0" fontId="12" fillId="11" borderId="13" xfId="0" applyFont="1" applyFill="1" applyBorder="1" applyAlignment="1">
      <alignment vertical="center"/>
    </xf>
    <xf numFmtId="0" fontId="6" fillId="3" borderId="13" xfId="0" applyFont="1" applyFill="1" applyBorder="1" applyAlignment="1">
      <alignment horizontal="center" vertical="center" shrinkToFit="1"/>
    </xf>
    <xf numFmtId="44" fontId="6" fillId="3" borderId="13" xfId="0" applyNumberFormat="1" applyFont="1" applyFill="1" applyBorder="1" applyAlignment="1">
      <alignment horizontal="center" vertical="center" shrinkToFit="1"/>
    </xf>
    <xf numFmtId="44" fontId="6" fillId="3" borderId="13" xfId="0" quotePrefix="1" applyNumberFormat="1" applyFont="1" applyFill="1" applyBorder="1" applyAlignment="1">
      <alignment horizontal="center" vertical="center" shrinkToFit="1"/>
    </xf>
    <xf numFmtId="44" fontId="15" fillId="3" borderId="13" xfId="0" applyNumberFormat="1" applyFont="1" applyFill="1" applyBorder="1" applyAlignment="1">
      <alignment horizontal="center" vertical="center" shrinkToFit="1"/>
    </xf>
    <xf numFmtId="0" fontId="6" fillId="4" borderId="13" xfId="0" applyFont="1" applyFill="1" applyBorder="1" applyAlignment="1">
      <alignment horizontal="center" vertical="center" shrinkToFit="1"/>
    </xf>
    <xf numFmtId="44" fontId="6" fillId="4" borderId="13" xfId="0" applyNumberFormat="1" applyFont="1" applyFill="1" applyBorder="1" applyAlignment="1">
      <alignment horizontal="center" vertical="center" shrinkToFit="1"/>
    </xf>
    <xf numFmtId="44" fontId="6" fillId="4" borderId="13" xfId="0" quotePrefix="1" applyNumberFormat="1" applyFont="1" applyFill="1" applyBorder="1" applyAlignment="1">
      <alignment horizontal="center" vertical="center" shrinkToFit="1"/>
    </xf>
    <xf numFmtId="44" fontId="15" fillId="4" borderId="13" xfId="0" applyNumberFormat="1" applyFont="1" applyFill="1" applyBorder="1" applyAlignment="1">
      <alignment horizontal="center" vertical="center" shrinkToFit="1"/>
    </xf>
    <xf numFmtId="0" fontId="6" fillId="4" borderId="16" xfId="0" applyFont="1" applyFill="1" applyBorder="1" applyAlignment="1">
      <alignment horizontal="center" vertical="center" shrinkToFit="1"/>
    </xf>
    <xf numFmtId="44" fontId="6" fillId="4" borderId="16" xfId="0" applyNumberFormat="1" applyFont="1" applyFill="1" applyBorder="1" applyAlignment="1">
      <alignment horizontal="center" vertical="center" shrinkToFit="1"/>
    </xf>
    <xf numFmtId="44" fontId="6" fillId="4" borderId="16" xfId="0" quotePrefix="1" applyNumberFormat="1" applyFont="1" applyFill="1" applyBorder="1" applyAlignment="1">
      <alignment horizontal="center" vertical="center" shrinkToFit="1"/>
    </xf>
    <xf numFmtId="44" fontId="15" fillId="4" borderId="16" xfId="0" applyNumberFormat="1" applyFont="1" applyFill="1" applyBorder="1" applyAlignment="1">
      <alignment horizontal="center" vertical="center" shrinkToFit="1"/>
    </xf>
    <xf numFmtId="44" fontId="6" fillId="3" borderId="13" xfId="0" applyNumberFormat="1" applyFont="1" applyFill="1" applyBorder="1" applyAlignment="1">
      <alignment horizontal="center" shrinkToFit="1"/>
    </xf>
    <xf numFmtId="44" fontId="8" fillId="3" borderId="13" xfId="0" applyNumberFormat="1" applyFont="1" applyFill="1" applyBorder="1" applyAlignment="1">
      <alignment horizontal="center" shrinkToFit="1"/>
    </xf>
    <xf numFmtId="44" fontId="15" fillId="3" borderId="13" xfId="0" applyNumberFormat="1" applyFont="1" applyFill="1" applyBorder="1" applyAlignment="1">
      <alignment horizontal="center" shrinkToFit="1"/>
    </xf>
    <xf numFmtId="0" fontId="20" fillId="0" borderId="0" xfId="0" applyFont="1"/>
    <xf numFmtId="0" fontId="17" fillId="14" borderId="13" xfId="0" applyFont="1" applyFill="1" applyBorder="1" applyAlignment="1">
      <alignment vertical="center" wrapText="1"/>
    </xf>
    <xf numFmtId="0" fontId="12" fillId="14" borderId="13" xfId="0" applyFont="1" applyFill="1" applyBorder="1" applyAlignment="1">
      <alignment horizontal="center" vertical="center"/>
    </xf>
    <xf numFmtId="0" fontId="12" fillId="14" borderId="13" xfId="0" applyFont="1" applyFill="1" applyBorder="1" applyAlignment="1">
      <alignment horizontal="center" vertical="center" wrapText="1"/>
    </xf>
    <xf numFmtId="0" fontId="12" fillId="14" borderId="13" xfId="0" applyFont="1" applyFill="1" applyBorder="1" applyAlignment="1">
      <alignment vertical="center"/>
    </xf>
    <xf numFmtId="0" fontId="18" fillId="14" borderId="13" xfId="0" applyFont="1" applyFill="1" applyBorder="1" applyAlignment="1">
      <alignment horizontal="left" vertical="center" wrapText="1"/>
    </xf>
    <xf numFmtId="0" fontId="42" fillId="32" borderId="13" xfId="0" applyFont="1" applyFill="1" applyBorder="1" applyAlignment="1">
      <alignment vertical="center" wrapText="1"/>
    </xf>
    <xf numFmtId="0" fontId="42" fillId="32" borderId="34" xfId="0" applyFont="1" applyFill="1" applyBorder="1" applyAlignment="1">
      <alignment vertical="center" wrapText="1"/>
    </xf>
    <xf numFmtId="0" fontId="12" fillId="14" borderId="13" xfId="0" applyFont="1" applyFill="1" applyBorder="1" applyAlignment="1">
      <alignment horizontal="left" vertical="center" wrapText="1"/>
    </xf>
    <xf numFmtId="0" fontId="6" fillId="3" borderId="16" xfId="0" applyFont="1" applyFill="1" applyBorder="1" applyAlignment="1">
      <alignment horizontal="center" vertical="center" shrinkToFit="1"/>
    </xf>
    <xf numFmtId="44" fontId="6" fillId="3" borderId="16" xfId="0" applyNumberFormat="1" applyFont="1" applyFill="1" applyBorder="1" applyAlignment="1">
      <alignment horizontal="center" vertical="center" shrinkToFit="1"/>
    </xf>
    <xf numFmtId="44" fontId="6" fillId="3" borderId="16" xfId="0" quotePrefix="1" applyNumberFormat="1" applyFont="1" applyFill="1" applyBorder="1" applyAlignment="1">
      <alignment horizontal="center" vertical="center" shrinkToFit="1"/>
    </xf>
    <xf numFmtId="44" fontId="15" fillId="3" borderId="16" xfId="0" applyNumberFormat="1" applyFont="1" applyFill="1" applyBorder="1" applyAlignment="1">
      <alignment horizontal="center" vertical="center" shrinkToFit="1"/>
    </xf>
    <xf numFmtId="0" fontId="17" fillId="18" borderId="13" xfId="0" applyFont="1" applyFill="1" applyBorder="1" applyAlignment="1">
      <alignment vertical="center" wrapText="1"/>
    </xf>
    <xf numFmtId="0" fontId="12" fillId="18" borderId="13" xfId="0" applyFont="1" applyFill="1" applyBorder="1" applyAlignment="1">
      <alignment horizontal="center" vertical="center"/>
    </xf>
    <xf numFmtId="0" fontId="12" fillId="18" borderId="13" xfId="0" applyFont="1" applyFill="1" applyBorder="1" applyAlignment="1">
      <alignment horizontal="center" vertical="center" wrapText="1"/>
    </xf>
    <xf numFmtId="0" fontId="12" fillId="18" borderId="13" xfId="0" applyFont="1" applyFill="1" applyBorder="1" applyAlignment="1">
      <alignment vertical="center"/>
    </xf>
    <xf numFmtId="0" fontId="18" fillId="18" borderId="13" xfId="0" applyFont="1" applyFill="1" applyBorder="1" applyAlignment="1">
      <alignment horizontal="left" vertical="center" wrapText="1"/>
    </xf>
    <xf numFmtId="0" fontId="12" fillId="18" borderId="13" xfId="0" applyFont="1" applyFill="1" applyBorder="1" applyAlignment="1">
      <alignment horizontal="left" vertical="center" wrapText="1"/>
    </xf>
    <xf numFmtId="0" fontId="12" fillId="22" borderId="13" xfId="0" applyFont="1" applyFill="1" applyBorder="1" applyAlignment="1">
      <alignment horizontal="center" vertical="center"/>
    </xf>
    <xf numFmtId="0" fontId="12" fillId="22" borderId="13" xfId="0" applyFont="1" applyFill="1" applyBorder="1" applyAlignment="1">
      <alignment horizontal="center" vertical="center" wrapText="1"/>
    </xf>
    <xf numFmtId="0" fontId="12" fillId="22" borderId="13" xfId="0" applyFont="1" applyFill="1" applyBorder="1" applyAlignment="1">
      <alignment vertical="center"/>
    </xf>
    <xf numFmtId="0" fontId="7" fillId="23" borderId="13" xfId="0" applyFont="1" applyFill="1" applyBorder="1" applyAlignment="1">
      <alignment vertical="center" wrapText="1"/>
    </xf>
    <xf numFmtId="0" fontId="18" fillId="22" borderId="13" xfId="0" applyFont="1" applyFill="1" applyBorder="1" applyAlignment="1">
      <alignment horizontal="center" vertical="center"/>
    </xf>
    <xf numFmtId="0" fontId="7" fillId="3" borderId="3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5" borderId="16" xfId="0" applyFont="1" applyFill="1" applyBorder="1" applyAlignment="1">
      <alignment vertical="center" wrapText="1"/>
    </xf>
    <xf numFmtId="44" fontId="15" fillId="3" borderId="59" xfId="0" applyNumberFormat="1" applyFont="1" applyFill="1" applyBorder="1" applyAlignment="1">
      <alignment horizontal="center" vertical="center" shrinkToFit="1"/>
    </xf>
    <xf numFmtId="44" fontId="8" fillId="3" borderId="13" xfId="0" applyNumberFormat="1" applyFont="1" applyFill="1" applyBorder="1" applyAlignment="1">
      <alignment horizontal="center" vertical="center" shrinkToFit="1"/>
    </xf>
    <xf numFmtId="0" fontId="8" fillId="3" borderId="13" xfId="0" applyFont="1" applyFill="1" applyBorder="1" applyAlignment="1">
      <alignment horizontal="right"/>
    </xf>
    <xf numFmtId="0" fontId="27" fillId="24" borderId="13" xfId="0" applyFont="1" applyFill="1" applyBorder="1" applyAlignment="1">
      <alignment horizontal="left" vertical="center"/>
    </xf>
    <xf numFmtId="0" fontId="18" fillId="24" borderId="13" xfId="0" applyFont="1" applyFill="1" applyBorder="1" applyAlignment="1">
      <alignment vertical="center"/>
    </xf>
    <xf numFmtId="44" fontId="7" fillId="24" borderId="13" xfId="0" applyNumberFormat="1" applyFont="1" applyFill="1" applyBorder="1" applyAlignment="1">
      <alignment horizontal="center" vertical="center" shrinkToFit="1"/>
    </xf>
    <xf numFmtId="44" fontId="12" fillId="24" borderId="13" xfId="0" applyNumberFormat="1" applyFont="1" applyFill="1" applyBorder="1" applyAlignment="1">
      <alignment horizontal="center" vertical="center" shrinkToFit="1"/>
    </xf>
    <xf numFmtId="0" fontId="27" fillId="33" borderId="13" xfId="0" applyFont="1" applyFill="1" applyBorder="1" applyAlignment="1">
      <alignment horizontal="left" vertical="center"/>
    </xf>
    <xf numFmtId="0" fontId="18" fillId="33" borderId="13" xfId="0" applyFont="1" applyFill="1" applyBorder="1" applyAlignment="1">
      <alignment vertical="center"/>
    </xf>
    <xf numFmtId="44" fontId="7" fillId="33" borderId="13" xfId="0" applyNumberFormat="1" applyFont="1" applyFill="1" applyBorder="1" applyAlignment="1">
      <alignment horizontal="center" vertical="center" shrinkToFit="1"/>
    </xf>
    <xf numFmtId="44" fontId="12" fillId="33" borderId="13" xfId="0" applyNumberFormat="1" applyFont="1" applyFill="1" applyBorder="1" applyAlignment="1">
      <alignment horizontal="center" vertical="center" shrinkToFit="1"/>
    </xf>
    <xf numFmtId="44" fontId="12" fillId="33" borderId="13" xfId="0" quotePrefix="1" applyNumberFormat="1" applyFont="1" applyFill="1" applyBorder="1" applyAlignment="1">
      <alignment horizontal="center" vertical="center" wrapText="1" shrinkToFit="1"/>
    </xf>
    <xf numFmtId="44" fontId="6" fillId="3" borderId="59" xfId="0" applyNumberFormat="1" applyFont="1" applyFill="1" applyBorder="1" applyAlignment="1">
      <alignment horizontal="center" vertical="center" shrinkToFit="1"/>
    </xf>
    <xf numFmtId="44" fontId="6" fillId="3" borderId="59" xfId="0" quotePrefix="1" applyNumberFormat="1" applyFont="1" applyFill="1" applyBorder="1" applyAlignment="1">
      <alignment horizontal="center" vertical="center" shrinkToFit="1"/>
    </xf>
    <xf numFmtId="0" fontId="27" fillId="27" borderId="13" xfId="0" applyFont="1" applyFill="1" applyBorder="1" applyAlignment="1">
      <alignment horizontal="left" vertical="center"/>
    </xf>
    <xf numFmtId="0" fontId="18" fillId="27" borderId="13" xfId="0" applyFont="1" applyFill="1" applyBorder="1" applyAlignment="1">
      <alignment vertical="center"/>
    </xf>
    <xf numFmtId="44" fontId="7" fillId="27" borderId="13" xfId="0" applyNumberFormat="1" applyFont="1" applyFill="1" applyBorder="1" applyAlignment="1">
      <alignment horizontal="center" vertical="center" shrinkToFit="1"/>
    </xf>
    <xf numFmtId="44" fontId="12" fillId="27" borderId="13" xfId="0" applyNumberFormat="1" applyFont="1" applyFill="1" applyBorder="1" applyAlignment="1">
      <alignment horizontal="center" vertical="center" shrinkToFit="1"/>
    </xf>
    <xf numFmtId="44" fontId="6" fillId="30" borderId="16" xfId="0" applyNumberFormat="1" applyFont="1" applyFill="1" applyBorder="1" applyAlignment="1">
      <alignment horizontal="center" vertical="center" shrinkToFit="1"/>
    </xf>
    <xf numFmtId="9" fontId="6" fillId="30" borderId="16" xfId="0" applyNumberFormat="1" applyFont="1" applyFill="1" applyBorder="1" applyAlignment="1">
      <alignment horizontal="center" vertical="center" shrinkToFit="1"/>
    </xf>
    <xf numFmtId="167" fontId="10" fillId="0" borderId="0" xfId="0" applyNumberFormat="1" applyFont="1"/>
    <xf numFmtId="0" fontId="33" fillId="2" borderId="13" xfId="0" applyFont="1" applyFill="1" applyBorder="1" applyAlignment="1">
      <alignment horizontal="left" vertical="center"/>
    </xf>
    <xf numFmtId="0" fontId="33" fillId="2" borderId="13" xfId="0" applyFont="1" applyFill="1" applyBorder="1" applyAlignment="1">
      <alignment vertical="center"/>
    </xf>
    <xf numFmtId="0" fontId="12" fillId="2" borderId="13" xfId="0" applyFont="1" applyFill="1" applyBorder="1" applyAlignment="1">
      <alignment horizontal="center" vertical="center" wrapText="1"/>
    </xf>
    <xf numFmtId="0" fontId="6" fillId="3" borderId="13" xfId="0" applyFont="1" applyFill="1" applyBorder="1" applyAlignment="1">
      <alignment horizontal="right" vertical="center"/>
    </xf>
    <xf numFmtId="44" fontId="6" fillId="3" borderId="53" xfId="0" applyNumberFormat="1" applyFont="1" applyFill="1" applyBorder="1" applyAlignment="1">
      <alignment horizontal="center" vertical="center" shrinkToFit="1"/>
    </xf>
    <xf numFmtId="0" fontId="6" fillId="3" borderId="13" xfId="0" applyFont="1" applyFill="1" applyBorder="1" applyAlignment="1">
      <alignment horizontal="left" vertical="center"/>
    </xf>
    <xf numFmtId="0" fontId="6" fillId="3" borderId="59" xfId="0" applyFont="1" applyFill="1" applyBorder="1" applyAlignment="1">
      <alignment horizontal="left" vertical="center"/>
    </xf>
    <xf numFmtId="0" fontId="6" fillId="3" borderId="59" xfId="0" applyFont="1" applyFill="1" applyBorder="1" applyAlignment="1">
      <alignment horizontal="right" vertical="center"/>
    </xf>
    <xf numFmtId="44" fontId="6" fillId="3" borderId="64" xfId="0" applyNumberFormat="1" applyFont="1" applyFill="1" applyBorder="1" applyAlignment="1">
      <alignment horizontal="center" vertical="center" shrinkToFit="1"/>
    </xf>
    <xf numFmtId="0" fontId="6" fillId="3" borderId="58" xfId="0" applyFont="1" applyFill="1" applyBorder="1" applyAlignment="1">
      <alignment horizontal="right" vertical="center"/>
    </xf>
    <xf numFmtId="44" fontId="6" fillId="3" borderId="58" xfId="0" applyNumberFormat="1" applyFont="1" applyFill="1" applyBorder="1" applyAlignment="1">
      <alignment horizontal="center" vertical="center" shrinkToFit="1"/>
    </xf>
    <xf numFmtId="44" fontId="6" fillId="3" borderId="58" xfId="0" quotePrefix="1" applyNumberFormat="1" applyFont="1" applyFill="1" applyBorder="1" applyAlignment="1">
      <alignment horizontal="center" vertical="center" shrinkToFit="1"/>
    </xf>
    <xf numFmtId="44" fontId="6" fillId="3" borderId="63" xfId="0" applyNumberFormat="1" applyFont="1" applyFill="1" applyBorder="1" applyAlignment="1">
      <alignment horizontal="center" vertical="center" shrinkToFit="1"/>
    </xf>
    <xf numFmtId="0" fontId="6" fillId="3" borderId="16" xfId="0" applyFont="1" applyFill="1" applyBorder="1" applyAlignment="1">
      <alignment horizontal="left" vertical="center"/>
    </xf>
    <xf numFmtId="0" fontId="6" fillId="3" borderId="16" xfId="0" applyFont="1" applyFill="1" applyBorder="1" applyAlignment="1">
      <alignment horizontal="right" vertical="center"/>
    </xf>
    <xf numFmtId="44" fontId="6" fillId="3" borderId="54" xfId="0" applyNumberFormat="1" applyFont="1" applyFill="1" applyBorder="1" applyAlignment="1">
      <alignment horizontal="center" vertical="center" shrinkToFit="1"/>
    </xf>
    <xf numFmtId="0" fontId="35" fillId="3" borderId="13" xfId="0" applyFont="1" applyFill="1" applyBorder="1" applyAlignment="1">
      <alignment horizontal="right" vertical="center"/>
    </xf>
    <xf numFmtId="44" fontId="10" fillId="3" borderId="13" xfId="0" applyNumberFormat="1" applyFont="1" applyFill="1" applyBorder="1" applyAlignment="1">
      <alignment horizontal="center" vertical="center" shrinkToFit="1"/>
    </xf>
    <xf numFmtId="44" fontId="10" fillId="3" borderId="55" xfId="0" applyNumberFormat="1" applyFont="1" applyFill="1" applyBorder="1" applyAlignment="1">
      <alignment horizontal="center" vertical="center" shrinkToFit="1"/>
    </xf>
    <xf numFmtId="0" fontId="6" fillId="12" borderId="34" xfId="0" applyFont="1" applyFill="1" applyBorder="1" applyAlignment="1" applyProtection="1">
      <alignment horizontal="center" vertical="center" shrinkToFit="1"/>
      <protection locked="0"/>
    </xf>
    <xf numFmtId="0" fontId="6" fillId="13" borderId="34" xfId="0" applyFont="1" applyFill="1" applyBorder="1" applyAlignment="1" applyProtection="1">
      <alignment horizontal="center" vertical="center" shrinkToFit="1"/>
      <protection locked="0"/>
    </xf>
    <xf numFmtId="0" fontId="6" fillId="13" borderId="38" xfId="0" applyFont="1" applyFill="1" applyBorder="1" applyAlignment="1" applyProtection="1">
      <alignment horizontal="center" vertical="center" shrinkToFit="1"/>
      <protection locked="0"/>
    </xf>
    <xf numFmtId="0" fontId="6" fillId="15" borderId="34" xfId="0" applyFont="1" applyFill="1" applyBorder="1" applyAlignment="1" applyProtection="1">
      <alignment horizontal="center" vertical="center" shrinkToFit="1"/>
      <protection locked="0"/>
    </xf>
    <xf numFmtId="0" fontId="6" fillId="16" borderId="34" xfId="0" applyFont="1" applyFill="1" applyBorder="1" applyAlignment="1" applyProtection="1">
      <alignment horizontal="center" vertical="center" shrinkToFit="1"/>
      <protection locked="0"/>
    </xf>
    <xf numFmtId="0" fontId="6" fillId="15" borderId="38" xfId="0" applyFont="1" applyFill="1" applyBorder="1" applyAlignment="1" applyProtection="1">
      <alignment horizontal="center" vertical="center" shrinkToFit="1"/>
      <protection locked="0"/>
    </xf>
    <xf numFmtId="0" fontId="6" fillId="19" borderId="34" xfId="0" applyFont="1" applyFill="1" applyBorder="1" applyAlignment="1" applyProtection="1">
      <alignment horizontal="center" vertical="center" shrinkToFit="1"/>
      <protection locked="0"/>
    </xf>
    <xf numFmtId="0" fontId="6" fillId="20" borderId="34" xfId="0" applyFont="1" applyFill="1" applyBorder="1" applyAlignment="1" applyProtection="1">
      <alignment horizontal="center" vertical="center" shrinkToFit="1"/>
      <protection locked="0"/>
    </xf>
    <xf numFmtId="0" fontId="6" fillId="21" borderId="34" xfId="0" applyFont="1" applyFill="1" applyBorder="1" applyAlignment="1" applyProtection="1">
      <alignment horizontal="center" vertical="center" shrinkToFit="1"/>
      <protection locked="0"/>
    </xf>
    <xf numFmtId="0" fontId="6" fillId="20" borderId="38"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6" fillId="23" borderId="34" xfId="0" applyFont="1" applyFill="1" applyBorder="1" applyAlignment="1" applyProtection="1">
      <alignment horizontal="center" vertical="center" shrinkToFit="1"/>
      <protection locked="0"/>
    </xf>
    <xf numFmtId="0" fontId="7" fillId="5" borderId="34" xfId="0" applyFont="1" applyFill="1" applyBorder="1" applyAlignment="1" applyProtection="1">
      <alignment vertical="center" wrapText="1"/>
      <protection locked="0"/>
    </xf>
    <xf numFmtId="0" fontId="7" fillId="5" borderId="13" xfId="0" applyFont="1" applyFill="1" applyBorder="1" applyAlignment="1" applyProtection="1">
      <alignment horizontal="center" vertical="center" wrapText="1"/>
      <protection locked="0"/>
    </xf>
    <xf numFmtId="0" fontId="6" fillId="5" borderId="38" xfId="0" applyFont="1" applyFill="1" applyBorder="1" applyAlignment="1" applyProtection="1">
      <alignment horizontal="center" vertical="center" shrinkToFit="1"/>
      <protection locked="0"/>
    </xf>
    <xf numFmtId="0" fontId="7" fillId="25" borderId="13" xfId="0" applyFont="1" applyFill="1" applyBorder="1" applyAlignment="1" applyProtection="1">
      <alignment vertical="center" wrapText="1"/>
      <protection locked="0"/>
    </xf>
    <xf numFmtId="0" fontId="7" fillId="25" borderId="34" xfId="0" applyFont="1" applyFill="1" applyBorder="1" applyAlignment="1" applyProtection="1">
      <alignment vertical="center" wrapText="1"/>
      <protection locked="0"/>
    </xf>
    <xf numFmtId="0" fontId="7" fillId="26" borderId="13" xfId="0" applyFont="1" applyFill="1" applyBorder="1" applyAlignment="1" applyProtection="1">
      <alignment vertical="center" wrapText="1"/>
      <protection locked="0"/>
    </xf>
    <xf numFmtId="0" fontId="7" fillId="26" borderId="34" xfId="0" applyFont="1" applyFill="1" applyBorder="1" applyAlignment="1" applyProtection="1">
      <alignment vertical="center" wrapText="1"/>
      <protection locked="0"/>
    </xf>
    <xf numFmtId="0" fontId="7" fillId="25" borderId="16" xfId="0" applyFont="1" applyFill="1" applyBorder="1" applyAlignment="1" applyProtection="1">
      <alignment vertical="center" wrapText="1"/>
      <protection locked="0"/>
    </xf>
    <xf numFmtId="0" fontId="7" fillId="25" borderId="38" xfId="0" applyFont="1" applyFill="1" applyBorder="1" applyAlignment="1" applyProtection="1">
      <alignment vertical="center" wrapText="1"/>
      <protection locked="0"/>
    </xf>
    <xf numFmtId="0" fontId="7" fillId="35" borderId="13" xfId="0" applyFont="1" applyFill="1" applyBorder="1" applyAlignment="1" applyProtection="1">
      <alignment vertical="center" wrapText="1"/>
      <protection locked="0"/>
    </xf>
    <xf numFmtId="0" fontId="7" fillId="35" borderId="34" xfId="0" applyFont="1" applyFill="1" applyBorder="1" applyAlignment="1" applyProtection="1">
      <alignment vertical="center" wrapText="1"/>
      <protection locked="0"/>
    </xf>
    <xf numFmtId="0" fontId="7" fillId="37" borderId="13" xfId="0" applyFont="1" applyFill="1" applyBorder="1" applyAlignment="1" applyProtection="1">
      <alignment vertical="center" wrapText="1"/>
      <protection locked="0"/>
    </xf>
    <xf numFmtId="0" fontId="7" fillId="37" borderId="34" xfId="0" applyFont="1" applyFill="1" applyBorder="1" applyAlignment="1" applyProtection="1">
      <alignment vertical="center" wrapText="1"/>
      <protection locked="0"/>
    </xf>
    <xf numFmtId="0" fontId="7" fillId="37" borderId="59" xfId="0" applyFont="1" applyFill="1" applyBorder="1" applyAlignment="1" applyProtection="1">
      <alignment vertical="center" wrapText="1"/>
      <protection locked="0"/>
    </xf>
    <xf numFmtId="0" fontId="7" fillId="37" borderId="60" xfId="0" applyFont="1" applyFill="1" applyBorder="1" applyAlignment="1" applyProtection="1">
      <alignment vertical="center" wrapText="1"/>
      <protection locked="0"/>
    </xf>
    <xf numFmtId="0" fontId="7" fillId="12" borderId="31" xfId="0" applyFont="1" applyFill="1" applyBorder="1" applyAlignment="1" applyProtection="1">
      <alignment vertical="top" wrapText="1" readingOrder="1"/>
      <protection locked="0"/>
    </xf>
    <xf numFmtId="0" fontId="7" fillId="13" borderId="31" xfId="0" applyFont="1" applyFill="1" applyBorder="1" applyAlignment="1" applyProtection="1">
      <alignment vertical="top" wrapText="1" readingOrder="1"/>
      <protection locked="0"/>
    </xf>
    <xf numFmtId="0" fontId="7" fillId="13" borderId="35" xfId="0" applyFont="1" applyFill="1" applyBorder="1" applyAlignment="1" applyProtection="1">
      <alignment vertical="top" wrapText="1" readingOrder="1"/>
      <protection locked="0"/>
    </xf>
    <xf numFmtId="0" fontId="7" fillId="15" borderId="13" xfId="0" quotePrefix="1" applyFont="1" applyFill="1" applyBorder="1" applyAlignment="1" applyProtection="1">
      <alignment vertical="top" wrapText="1" readingOrder="1"/>
      <protection locked="0"/>
    </xf>
    <xf numFmtId="0" fontId="7" fillId="16" borderId="13" xfId="0" applyFont="1" applyFill="1" applyBorder="1" applyAlignment="1" applyProtection="1">
      <alignment vertical="top" wrapText="1" readingOrder="1"/>
      <protection locked="0"/>
    </xf>
    <xf numFmtId="0" fontId="7" fillId="15" borderId="13" xfId="0" applyFont="1" applyFill="1" applyBorder="1" applyAlignment="1" applyProtection="1">
      <alignment vertical="top" wrapText="1" readingOrder="1"/>
      <protection locked="0"/>
    </xf>
    <xf numFmtId="0" fontId="7" fillId="15" borderId="16" xfId="0" applyFont="1" applyFill="1" applyBorder="1" applyAlignment="1" applyProtection="1">
      <alignment vertical="top" wrapText="1" readingOrder="1"/>
      <protection locked="0"/>
    </xf>
    <xf numFmtId="0" fontId="7" fillId="19" borderId="13" xfId="0" applyFont="1" applyFill="1" applyBorder="1" applyAlignment="1" applyProtection="1">
      <alignment vertical="top" wrapText="1" readingOrder="1"/>
      <protection locked="0"/>
    </xf>
    <xf numFmtId="0" fontId="7" fillId="20" borderId="13" xfId="0" applyFont="1" applyFill="1" applyBorder="1" applyAlignment="1" applyProtection="1">
      <alignment vertical="top" wrapText="1" readingOrder="1"/>
      <protection locked="0"/>
    </xf>
    <xf numFmtId="0" fontId="7" fillId="21" borderId="13" xfId="0" applyFont="1" applyFill="1" applyBorder="1" applyAlignment="1" applyProtection="1">
      <alignment vertical="top" wrapText="1" readingOrder="1"/>
      <protection locked="0"/>
    </xf>
    <xf numFmtId="0" fontId="7" fillId="20" borderId="16" xfId="0" applyFont="1" applyFill="1" applyBorder="1" applyAlignment="1" applyProtection="1">
      <alignment vertical="top" wrapText="1" readingOrder="1"/>
      <protection locked="0"/>
    </xf>
    <xf numFmtId="0" fontId="7" fillId="19" borderId="34" xfId="0" applyFont="1" applyFill="1" applyBorder="1" applyAlignment="1" applyProtection="1">
      <alignment vertical="top" wrapText="1" readingOrder="1"/>
      <protection locked="0"/>
    </xf>
    <xf numFmtId="0" fontId="7" fillId="20" borderId="34" xfId="0" applyFont="1" applyFill="1" applyBorder="1" applyAlignment="1" applyProtection="1">
      <alignment vertical="top" wrapText="1" readingOrder="1"/>
      <protection locked="0"/>
    </xf>
    <xf numFmtId="0" fontId="7" fillId="15" borderId="34" xfId="0" applyFont="1" applyFill="1" applyBorder="1" applyAlignment="1" applyProtection="1">
      <alignment vertical="top" wrapText="1" readingOrder="1"/>
      <protection locked="0"/>
    </xf>
    <xf numFmtId="0" fontId="7" fillId="16" borderId="34" xfId="0" applyFont="1" applyFill="1" applyBorder="1" applyAlignment="1" applyProtection="1">
      <alignment vertical="top" wrapText="1" readingOrder="1"/>
      <protection locked="0"/>
    </xf>
    <xf numFmtId="0" fontId="4" fillId="31" borderId="65" xfId="0" applyFont="1" applyFill="1" applyBorder="1"/>
    <xf numFmtId="0" fontId="6" fillId="0" borderId="66" xfId="0" applyFont="1" applyBorder="1"/>
    <xf numFmtId="0" fontId="6" fillId="0" borderId="67" xfId="0" applyFont="1" applyBorder="1"/>
    <xf numFmtId="44" fontId="6" fillId="35" borderId="13" xfId="0" applyNumberFormat="1" applyFont="1" applyFill="1" applyBorder="1" applyAlignment="1" applyProtection="1">
      <alignment horizontal="center" vertical="center" shrinkToFit="1"/>
      <protection locked="0"/>
    </xf>
    <xf numFmtId="44" fontId="6" fillId="37" borderId="13" xfId="0" applyNumberFormat="1" applyFont="1" applyFill="1" applyBorder="1" applyAlignment="1" applyProtection="1">
      <alignment horizontal="center" vertical="center" shrinkToFit="1"/>
      <protection locked="0"/>
    </xf>
    <xf numFmtId="44" fontId="6" fillId="37" borderId="59" xfId="0" applyNumberFormat="1" applyFont="1" applyFill="1" applyBorder="1" applyAlignment="1" applyProtection="1">
      <alignment horizontal="center" vertical="center" shrinkToFit="1"/>
      <protection locked="0"/>
    </xf>
    <xf numFmtId="0" fontId="2" fillId="0" borderId="24" xfId="0" applyFont="1" applyBorder="1" applyProtection="1">
      <protection locked="0"/>
    </xf>
    <xf numFmtId="0" fontId="2" fillId="0" borderId="1" xfId="0" applyFont="1" applyBorder="1" applyAlignment="1">
      <alignment horizontal="center"/>
    </xf>
    <xf numFmtId="0" fontId="3" fillId="0" borderId="1" xfId="0" applyFont="1" applyBorder="1"/>
    <xf numFmtId="0" fontId="10" fillId="0" borderId="45" xfId="0" applyFont="1" applyBorder="1" applyAlignment="1">
      <alignment horizontal="center"/>
    </xf>
    <xf numFmtId="0" fontId="12" fillId="11" borderId="28" xfId="0" applyFont="1" applyFill="1" applyBorder="1" applyAlignment="1">
      <alignment horizontal="center" vertical="center" wrapText="1"/>
    </xf>
    <xf numFmtId="0" fontId="3" fillId="0" borderId="30" xfId="0" applyFont="1" applyBorder="1"/>
    <xf numFmtId="0" fontId="12" fillId="3" borderId="25" xfId="0" applyFont="1" applyFill="1" applyBorder="1" applyAlignment="1">
      <alignment horizontal="right"/>
    </xf>
    <xf numFmtId="0" fontId="3" fillId="0" borderId="26" xfId="0" applyFont="1" applyBorder="1"/>
    <xf numFmtId="0" fontId="12" fillId="3" borderId="25" xfId="0" applyFont="1" applyFill="1" applyBorder="1" applyAlignment="1">
      <alignment horizontal="right" vertical="center" wrapText="1"/>
    </xf>
    <xf numFmtId="0" fontId="3" fillId="0" borderId="26" xfId="0" applyFont="1" applyBorder="1" applyAlignment="1">
      <alignment horizontal="right" vertical="center" wrapText="1"/>
    </xf>
    <xf numFmtId="0" fontId="44" fillId="0" borderId="0" xfId="0" applyFont="1" applyAlignment="1">
      <alignment horizontal="left" vertical="top" wrapText="1" indent="1"/>
    </xf>
    <xf numFmtId="0" fontId="45" fillId="0" borderId="0" xfId="0" applyFont="1" applyAlignment="1">
      <alignment horizontal="left" indent="1"/>
    </xf>
    <xf numFmtId="0" fontId="16" fillId="0" borderId="1" xfId="0" applyFont="1" applyBorder="1" applyAlignment="1" applyProtection="1">
      <alignment horizontal="left"/>
      <protection locked="0"/>
    </xf>
    <xf numFmtId="0" fontId="3" fillId="0" borderId="1" xfId="0" applyFont="1" applyBorder="1" applyProtection="1">
      <protection locked="0"/>
    </xf>
    <xf numFmtId="0" fontId="17" fillId="11" borderId="28" xfId="0" applyFont="1" applyFill="1" applyBorder="1" applyAlignment="1">
      <alignment horizontal="left" vertical="center"/>
    </xf>
    <xf numFmtId="0" fontId="18" fillId="11" borderId="28" xfId="0" applyFont="1" applyFill="1" applyBorder="1" applyAlignment="1">
      <alignment horizontal="left" vertical="center" wrapText="1"/>
    </xf>
    <xf numFmtId="0" fontId="12" fillId="11" borderId="25" xfId="0" applyFont="1" applyFill="1" applyBorder="1" applyAlignment="1">
      <alignment horizontal="center" vertical="center"/>
    </xf>
    <xf numFmtId="0" fontId="3" fillId="0" borderId="29" xfId="0" applyFont="1" applyBorder="1"/>
    <xf numFmtId="0" fontId="12" fillId="11" borderId="28" xfId="0" applyFont="1" applyFill="1" applyBorder="1" applyAlignment="1">
      <alignment horizontal="center" vertical="center"/>
    </xf>
    <xf numFmtId="0" fontId="12" fillId="14" borderId="28" xfId="0" applyFont="1" applyFill="1" applyBorder="1" applyAlignment="1">
      <alignment horizontal="center" vertical="center" wrapText="1"/>
    </xf>
    <xf numFmtId="0" fontId="6" fillId="12" borderId="32" xfId="0" applyFont="1" applyFill="1" applyBorder="1" applyAlignment="1" applyProtection="1">
      <alignment horizontal="center" vertical="center" shrinkToFit="1"/>
      <protection locked="0"/>
    </xf>
    <xf numFmtId="0" fontId="3" fillId="0" borderId="33" xfId="0" applyFont="1" applyBorder="1" applyProtection="1">
      <protection locked="0"/>
    </xf>
    <xf numFmtId="0" fontId="6" fillId="13" borderId="32" xfId="0" applyFont="1" applyFill="1" applyBorder="1" applyAlignment="1" applyProtection="1">
      <alignment horizontal="center" vertical="center" shrinkToFit="1"/>
      <protection locked="0"/>
    </xf>
    <xf numFmtId="0" fontId="6" fillId="13" borderId="36" xfId="0" applyFont="1" applyFill="1" applyBorder="1" applyAlignment="1" applyProtection="1">
      <alignment horizontal="center" vertical="center" shrinkToFit="1"/>
      <protection locked="0"/>
    </xf>
    <xf numFmtId="0" fontId="3" fillId="0" borderId="37" xfId="0" applyFont="1" applyBorder="1" applyProtection="1">
      <protection locked="0"/>
    </xf>
    <xf numFmtId="0" fontId="19" fillId="3" borderId="25" xfId="0" applyFont="1" applyFill="1" applyBorder="1" applyAlignment="1">
      <alignment horizontal="right"/>
    </xf>
    <xf numFmtId="0" fontId="18" fillId="14" borderId="28" xfId="0" applyFont="1" applyFill="1" applyBorder="1" applyAlignment="1">
      <alignment horizontal="left" vertical="center" wrapText="1"/>
    </xf>
    <xf numFmtId="0" fontId="12" fillId="14" borderId="39" xfId="0" applyFont="1" applyFill="1" applyBorder="1" applyAlignment="1">
      <alignment horizontal="center" vertical="center" wrapText="1"/>
    </xf>
    <xf numFmtId="0" fontId="43" fillId="0" borderId="40" xfId="0" applyFont="1" applyBorder="1"/>
    <xf numFmtId="0" fontId="43" fillId="0" borderId="41" xfId="0" applyFont="1" applyBorder="1"/>
    <xf numFmtId="0" fontId="43" fillId="0" borderId="42" xfId="0" applyFont="1" applyBorder="1"/>
    <xf numFmtId="44" fontId="21" fillId="15" borderId="25" xfId="0" applyNumberFormat="1" applyFont="1" applyFill="1" applyBorder="1" applyAlignment="1" applyProtection="1">
      <alignment horizontal="center" vertical="center" shrinkToFit="1"/>
      <protection locked="0"/>
    </xf>
    <xf numFmtId="0" fontId="22" fillId="16" borderId="25" xfId="0" applyFont="1" applyFill="1" applyBorder="1" applyAlignment="1" applyProtection="1">
      <alignment horizontal="center" vertical="center" wrapText="1"/>
      <protection locked="0"/>
    </xf>
    <xf numFmtId="0" fontId="7" fillId="16" borderId="32" xfId="0" applyFont="1" applyFill="1" applyBorder="1" applyAlignment="1" applyProtection="1">
      <alignment vertical="top" wrapText="1" readingOrder="1"/>
      <protection locked="0"/>
    </xf>
    <xf numFmtId="0" fontId="3" fillId="0" borderId="29" xfId="0" applyFont="1" applyBorder="1" applyAlignment="1" applyProtection="1">
      <alignment vertical="top" wrapText="1" readingOrder="1"/>
      <protection locked="0"/>
    </xf>
    <xf numFmtId="0" fontId="3" fillId="0" borderId="33" xfId="0" applyFont="1" applyBorder="1" applyAlignment="1" applyProtection="1">
      <alignment vertical="top" wrapText="1" readingOrder="1"/>
      <protection locked="0"/>
    </xf>
    <xf numFmtId="0" fontId="41" fillId="32" borderId="32" xfId="0" applyFont="1" applyFill="1" applyBorder="1" applyAlignment="1">
      <alignment horizontal="center" vertical="center" wrapText="1"/>
    </xf>
    <xf numFmtId="0" fontId="41" fillId="32" borderId="45" xfId="0" applyFont="1" applyFill="1" applyBorder="1" applyAlignment="1">
      <alignment horizontal="center" vertical="center" wrapText="1"/>
    </xf>
    <xf numFmtId="0" fontId="41" fillId="32" borderId="33" xfId="0" applyFont="1" applyFill="1" applyBorder="1" applyAlignment="1">
      <alignment horizontal="center" vertical="center" wrapText="1"/>
    </xf>
    <xf numFmtId="0" fontId="7" fillId="23" borderId="32" xfId="0" applyFont="1" applyFill="1" applyBorder="1" applyAlignment="1" applyProtection="1">
      <alignment horizontal="center" vertical="center" wrapText="1"/>
      <protection locked="0"/>
    </xf>
    <xf numFmtId="0" fontId="3" fillId="0" borderId="29" xfId="0" applyFont="1" applyBorder="1" applyProtection="1">
      <protection locked="0"/>
    </xf>
    <xf numFmtId="0" fontId="7" fillId="5" borderId="36" xfId="0" applyFont="1" applyFill="1" applyBorder="1" applyAlignment="1" applyProtection="1">
      <alignment vertical="center" wrapText="1"/>
      <protection locked="0"/>
    </xf>
    <xf numFmtId="0" fontId="3" fillId="0" borderId="43" xfId="0" applyFont="1" applyBorder="1" applyProtection="1">
      <protection locked="0"/>
    </xf>
    <xf numFmtId="0" fontId="29" fillId="3" borderId="25" xfId="0" applyFont="1" applyFill="1" applyBorder="1" applyAlignment="1">
      <alignment horizontal="right"/>
    </xf>
    <xf numFmtId="0" fontId="12" fillId="24" borderId="25" xfId="0" applyFont="1" applyFill="1" applyBorder="1" applyAlignment="1">
      <alignment horizontal="center" vertical="center" wrapText="1"/>
    </xf>
    <xf numFmtId="44" fontId="12" fillId="24" borderId="25" xfId="0" quotePrefix="1" applyNumberFormat="1" applyFont="1" applyFill="1" applyBorder="1" applyAlignment="1">
      <alignment horizontal="center" vertical="center" shrinkToFit="1"/>
    </xf>
    <xf numFmtId="0" fontId="7" fillId="25" borderId="32" xfId="0" applyFont="1" applyFill="1" applyBorder="1" applyAlignment="1" applyProtection="1">
      <alignment horizontal="center" vertical="center" wrapText="1"/>
      <protection locked="0"/>
    </xf>
    <xf numFmtId="0" fontId="7" fillId="26" borderId="32" xfId="0" applyFont="1" applyFill="1" applyBorder="1" applyAlignment="1" applyProtection="1">
      <alignment horizontal="center" vertical="center" wrapText="1"/>
      <protection locked="0"/>
    </xf>
    <xf numFmtId="0" fontId="7" fillId="15" borderId="32" xfId="0" applyFont="1" applyFill="1" applyBorder="1" applyAlignment="1" applyProtection="1">
      <alignment vertical="top" wrapText="1" readingOrder="1"/>
      <protection locked="0"/>
    </xf>
    <xf numFmtId="0" fontId="7" fillId="15" borderId="36" xfId="0" applyFont="1" applyFill="1" applyBorder="1" applyAlignment="1" applyProtection="1">
      <alignment vertical="top" wrapText="1" readingOrder="1"/>
      <protection locked="0"/>
    </xf>
    <xf numFmtId="0" fontId="3" fillId="0" borderId="43" xfId="0" applyFont="1" applyBorder="1" applyAlignment="1" applyProtection="1">
      <alignment vertical="top" wrapText="1" readingOrder="1"/>
      <protection locked="0"/>
    </xf>
    <xf numFmtId="0" fontId="3" fillId="0" borderId="37" xfId="0" applyFont="1" applyBorder="1" applyAlignment="1" applyProtection="1">
      <alignment vertical="top" wrapText="1" readingOrder="1"/>
      <protection locked="0"/>
    </xf>
    <xf numFmtId="0" fontId="23" fillId="3" borderId="25" xfId="0" applyFont="1" applyFill="1" applyBorder="1" applyAlignment="1">
      <alignment horizontal="right"/>
    </xf>
    <xf numFmtId="44" fontId="24" fillId="19" borderId="25" xfId="0" applyNumberFormat="1" applyFont="1" applyFill="1" applyBorder="1" applyAlignment="1" applyProtection="1">
      <alignment horizontal="center" vertical="center" shrinkToFit="1"/>
      <protection locked="0"/>
    </xf>
    <xf numFmtId="0" fontId="25" fillId="20" borderId="25" xfId="0" applyFont="1" applyFill="1" applyBorder="1" applyAlignment="1" applyProtection="1">
      <alignment horizontal="center" vertical="center" wrapText="1"/>
      <protection locked="0"/>
    </xf>
    <xf numFmtId="0" fontId="7" fillId="20" borderId="32" xfId="0" applyFont="1" applyFill="1" applyBorder="1" applyAlignment="1" applyProtection="1">
      <alignment vertical="top" wrapText="1" readingOrder="1"/>
      <protection locked="0"/>
    </xf>
    <xf numFmtId="0" fontId="7" fillId="21" borderId="32" xfId="0" applyFont="1" applyFill="1" applyBorder="1" applyAlignment="1" applyProtection="1">
      <alignment vertical="top" wrapText="1" readingOrder="1"/>
      <protection locked="0"/>
    </xf>
    <xf numFmtId="0" fontId="26" fillId="3" borderId="25" xfId="0" applyFont="1" applyFill="1" applyBorder="1" applyAlignment="1">
      <alignment horizontal="right"/>
    </xf>
    <xf numFmtId="0" fontId="7" fillId="20" borderId="36" xfId="0" applyFont="1" applyFill="1" applyBorder="1" applyAlignment="1" applyProtection="1">
      <alignment vertical="top" wrapText="1" readingOrder="1"/>
      <protection locked="0"/>
    </xf>
    <xf numFmtId="0" fontId="27" fillId="22" borderId="28" xfId="0" applyFont="1" applyFill="1" applyBorder="1" applyAlignment="1">
      <alignment horizontal="left" vertical="center" wrapText="1"/>
    </xf>
    <xf numFmtId="0" fontId="12" fillId="22" borderId="28" xfId="0" applyFont="1" applyFill="1" applyBorder="1" applyAlignment="1">
      <alignment horizontal="center" vertical="center" wrapText="1"/>
    </xf>
    <xf numFmtId="0" fontId="18" fillId="18" borderId="28" xfId="0" applyFont="1" applyFill="1" applyBorder="1" applyAlignment="1">
      <alignment horizontal="left" vertical="center" wrapText="1"/>
    </xf>
    <xf numFmtId="0" fontId="12" fillId="18" borderId="39" xfId="0" applyFont="1" applyFill="1" applyBorder="1" applyAlignment="1">
      <alignment horizontal="center" vertical="center" wrapText="1"/>
    </xf>
    <xf numFmtId="0" fontId="12" fillId="18" borderId="28" xfId="0" applyFont="1" applyFill="1" applyBorder="1" applyAlignment="1">
      <alignment horizontal="center" vertical="center" wrapText="1"/>
    </xf>
    <xf numFmtId="44" fontId="6" fillId="3" borderId="25" xfId="0" applyNumberFormat="1" applyFont="1" applyFill="1" applyBorder="1" applyAlignment="1">
      <alignment horizontal="center" vertical="center" shrinkToFit="1"/>
    </xf>
    <xf numFmtId="44" fontId="6" fillId="4" borderId="25" xfId="0" applyNumberFormat="1" applyFont="1" applyFill="1" applyBorder="1" applyAlignment="1">
      <alignment horizontal="center" vertical="center" shrinkToFit="1"/>
    </xf>
    <xf numFmtId="44" fontId="6" fillId="3" borderId="46" xfId="0" applyNumberFormat="1" applyFont="1" applyFill="1" applyBorder="1" applyAlignment="1">
      <alignment horizontal="center" vertical="center" shrinkToFit="1"/>
    </xf>
    <xf numFmtId="0" fontId="3" fillId="0" borderId="43" xfId="0" applyFont="1" applyBorder="1"/>
    <xf numFmtId="0" fontId="3" fillId="0" borderId="47" xfId="0" applyFont="1" applyBorder="1"/>
    <xf numFmtId="0" fontId="30" fillId="3" borderId="25" xfId="0" applyFont="1" applyFill="1" applyBorder="1" applyAlignment="1">
      <alignment horizontal="right"/>
    </xf>
    <xf numFmtId="44" fontId="6" fillId="3" borderId="48" xfId="0" applyNumberFormat="1" applyFont="1" applyFill="1" applyBorder="1" applyAlignment="1">
      <alignment horizontal="center" shrinkToFit="1"/>
    </xf>
    <xf numFmtId="0" fontId="3" fillId="0" borderId="49" xfId="0" applyFont="1" applyBorder="1"/>
    <xf numFmtId="0" fontId="3" fillId="0" borderId="50" xfId="0" applyFont="1" applyBorder="1"/>
    <xf numFmtId="0" fontId="7" fillId="25" borderId="36" xfId="0" applyFont="1" applyFill="1" applyBorder="1" applyAlignment="1" applyProtection="1">
      <alignment horizontal="center" vertical="center" wrapText="1"/>
      <protection locked="0"/>
    </xf>
    <xf numFmtId="0" fontId="12" fillId="33" borderId="25" xfId="0" applyFont="1" applyFill="1" applyBorder="1" applyAlignment="1">
      <alignment horizontal="center" vertical="center" wrapText="1"/>
    </xf>
    <xf numFmtId="0" fontId="3" fillId="34" borderId="29" xfId="0" applyFont="1" applyFill="1" applyBorder="1"/>
    <xf numFmtId="0" fontId="3" fillId="34" borderId="26" xfId="0" applyFont="1" applyFill="1" applyBorder="1"/>
    <xf numFmtId="0" fontId="31" fillId="3" borderId="25" xfId="0" applyFont="1" applyFill="1" applyBorder="1" applyAlignment="1">
      <alignment horizontal="right"/>
    </xf>
    <xf numFmtId="0" fontId="6" fillId="3" borderId="25" xfId="0" applyFont="1" applyFill="1" applyBorder="1" applyAlignment="1">
      <alignment horizontal="left" vertical="center"/>
    </xf>
    <xf numFmtId="0" fontId="34" fillId="3" borderId="25" xfId="0" applyFont="1" applyFill="1" applyBorder="1" applyAlignment="1">
      <alignment horizontal="right" vertical="center"/>
    </xf>
    <xf numFmtId="0" fontId="32" fillId="2" borderId="28" xfId="0" applyFont="1" applyFill="1" applyBorder="1" applyAlignment="1">
      <alignment horizontal="left" vertical="center"/>
    </xf>
    <xf numFmtId="0" fontId="12" fillId="27" borderId="25" xfId="0" applyFont="1" applyFill="1" applyBorder="1" applyAlignment="1">
      <alignment horizontal="center" vertical="center" wrapText="1"/>
    </xf>
    <xf numFmtId="44" fontId="7" fillId="30" borderId="36" xfId="0" applyNumberFormat="1" applyFont="1" applyFill="1" applyBorder="1" applyAlignment="1">
      <alignment horizontal="center" vertical="center" wrapText="1"/>
    </xf>
    <xf numFmtId="0" fontId="3" fillId="30" borderId="43" xfId="0" applyFont="1" applyFill="1" applyBorder="1"/>
    <xf numFmtId="0" fontId="3" fillId="30" borderId="37" xfId="0" applyFont="1" applyFill="1" applyBorder="1"/>
    <xf numFmtId="0" fontId="18" fillId="22" borderId="39" xfId="0" applyFont="1" applyFill="1" applyBorder="1" applyAlignment="1">
      <alignment horizontal="left" vertical="center" wrapText="1"/>
    </xf>
    <xf numFmtId="0" fontId="3" fillId="0" borderId="44" xfId="0" applyFont="1" applyBorder="1"/>
    <xf numFmtId="0" fontId="3" fillId="0" borderId="40" xfId="0" applyFont="1" applyBorder="1"/>
    <xf numFmtId="0" fontId="3" fillId="0" borderId="41" xfId="0" applyFont="1" applyBorder="1"/>
    <xf numFmtId="0" fontId="3" fillId="0" borderId="45" xfId="0" applyFont="1" applyBorder="1"/>
    <xf numFmtId="0" fontId="3" fillId="0" borderId="42" xfId="0" applyFont="1" applyBorder="1"/>
    <xf numFmtId="0" fontId="7" fillId="5" borderId="32" xfId="0" applyFont="1" applyFill="1" applyBorder="1" applyAlignment="1" applyProtection="1">
      <alignment horizontal="center" vertical="center" wrapText="1"/>
      <protection locked="0"/>
    </xf>
    <xf numFmtId="0" fontId="7" fillId="5" borderId="45" xfId="0" applyFont="1" applyFill="1" applyBorder="1" applyAlignment="1" applyProtection="1">
      <alignment horizontal="center" vertical="center" wrapText="1"/>
      <protection locked="0"/>
    </xf>
    <xf numFmtId="0" fontId="7" fillId="5" borderId="33" xfId="0" applyFont="1" applyFill="1" applyBorder="1" applyAlignment="1" applyProtection="1">
      <alignment horizontal="center" vertical="center" wrapText="1"/>
      <protection locked="0"/>
    </xf>
    <xf numFmtId="0" fontId="12" fillId="22" borderId="28" xfId="0" applyFont="1" applyFill="1" applyBorder="1" applyAlignment="1">
      <alignment horizontal="center" vertical="center"/>
    </xf>
    <xf numFmtId="44" fontId="12" fillId="27" borderId="13" xfId="0" quotePrefix="1" applyNumberFormat="1" applyFont="1" applyFill="1" applyBorder="1" applyAlignment="1">
      <alignment horizontal="center" vertical="center" wrapText="1" shrinkToFit="1"/>
    </xf>
    <xf numFmtId="44" fontId="6" fillId="3" borderId="47" xfId="0" applyNumberFormat="1" applyFont="1" applyFill="1" applyBorder="1" applyAlignment="1">
      <alignment horizontal="center" vertical="center" shrinkToFit="1"/>
    </xf>
    <xf numFmtId="44" fontId="6" fillId="3" borderId="50" xfId="0" applyNumberFormat="1" applyFont="1" applyFill="1" applyBorder="1" applyAlignment="1">
      <alignment horizontal="center" shrinkToFit="1"/>
    </xf>
    <xf numFmtId="0" fontId="7" fillId="30" borderId="47" xfId="0" applyFont="1" applyFill="1" applyBorder="1" applyAlignment="1">
      <alignment horizontal="left" vertical="center" wrapText="1"/>
    </xf>
    <xf numFmtId="0" fontId="7" fillId="30" borderId="37" xfId="0" applyFont="1" applyFill="1" applyBorder="1" applyAlignment="1">
      <alignment horizontal="left" vertical="center" wrapText="1"/>
    </xf>
    <xf numFmtId="0" fontId="8" fillId="3" borderId="58" xfId="0" applyFont="1" applyFill="1" applyBorder="1" applyAlignment="1">
      <alignment horizontal="right"/>
    </xf>
    <xf numFmtId="0" fontId="7" fillId="5" borderId="32" xfId="0" applyFont="1" applyFill="1" applyBorder="1" applyAlignment="1" applyProtection="1">
      <alignment vertical="center" wrapText="1"/>
      <protection locked="0"/>
    </xf>
    <xf numFmtId="0" fontId="3" fillId="0" borderId="26" xfId="0" applyFont="1" applyBorder="1" applyProtection="1">
      <protection locked="0"/>
    </xf>
    <xf numFmtId="0" fontId="7" fillId="23" borderId="32" xfId="0" applyFont="1" applyFill="1" applyBorder="1" applyAlignment="1" applyProtection="1">
      <alignment vertical="center" wrapText="1"/>
      <protection locked="0"/>
    </xf>
    <xf numFmtId="0" fontId="28" fillId="22" borderId="28" xfId="0" applyFont="1" applyFill="1" applyBorder="1" applyAlignment="1">
      <alignment horizontal="left" vertical="center"/>
    </xf>
    <xf numFmtId="0" fontId="18" fillId="22" borderId="28" xfId="0" applyFont="1" applyFill="1" applyBorder="1" applyAlignment="1">
      <alignment horizontal="left" vertical="center" wrapText="1"/>
    </xf>
    <xf numFmtId="0" fontId="18" fillId="22" borderId="28"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3" fillId="0" borderId="52" xfId="0" applyFont="1" applyBorder="1"/>
    <xf numFmtId="0" fontId="12" fillId="2" borderId="28" xfId="0" applyFont="1" applyFill="1" applyBorder="1" applyAlignment="1">
      <alignment horizontal="center" vertical="center"/>
    </xf>
    <xf numFmtId="0" fontId="7" fillId="35" borderId="32" xfId="0" applyFont="1" applyFill="1" applyBorder="1" applyAlignment="1" applyProtection="1">
      <alignment horizontal="center" vertical="center" wrapText="1"/>
      <protection locked="0"/>
    </xf>
    <xf numFmtId="0" fontId="3" fillId="36" borderId="29" xfId="0" applyFont="1" applyFill="1" applyBorder="1" applyProtection="1">
      <protection locked="0"/>
    </xf>
    <xf numFmtId="0" fontId="3" fillId="36" borderId="33" xfId="0" applyFont="1" applyFill="1" applyBorder="1" applyProtection="1">
      <protection locked="0"/>
    </xf>
    <xf numFmtId="0" fontId="7" fillId="37" borderId="32" xfId="0" applyFont="1" applyFill="1" applyBorder="1" applyAlignment="1" applyProtection="1">
      <alignment horizontal="center" vertical="center" wrapText="1"/>
      <protection locked="0"/>
    </xf>
    <xf numFmtId="0" fontId="3" fillId="38" borderId="29" xfId="0" applyFont="1" applyFill="1" applyBorder="1" applyProtection="1">
      <protection locked="0"/>
    </xf>
    <xf numFmtId="0" fontId="3" fillId="38" borderId="33" xfId="0" applyFont="1" applyFill="1" applyBorder="1" applyProtection="1">
      <protection locked="0"/>
    </xf>
    <xf numFmtId="0" fontId="7" fillId="37" borderId="61" xfId="0" applyFont="1" applyFill="1" applyBorder="1" applyAlignment="1" applyProtection="1">
      <alignment horizontal="center" vertical="center" wrapText="1"/>
      <protection locked="0"/>
    </xf>
    <xf numFmtId="0" fontId="3" fillId="38" borderId="59" xfId="0" applyFont="1" applyFill="1" applyBorder="1" applyProtection="1">
      <protection locked="0"/>
    </xf>
    <xf numFmtId="0" fontId="3" fillId="38" borderId="62" xfId="0" applyFont="1" applyFill="1" applyBorder="1" applyProtection="1">
      <protection locked="0"/>
    </xf>
  </cellXfs>
  <cellStyles count="7">
    <cellStyle name="Monétaire" xfId="1" builtinId="4"/>
    <cellStyle name="Monétaire 2" xfId="3" xr:uid="{00000000-0005-0000-0000-000001000000}"/>
    <cellStyle name="Neutre 2" xfId="6" xr:uid="{00000000-0005-0000-0000-000002000000}"/>
    <cellStyle name="Normal" xfId="0" builtinId="0"/>
    <cellStyle name="Normal 2" xfId="2" xr:uid="{00000000-0005-0000-0000-000004000000}"/>
    <cellStyle name="Pourcentage 2" xfId="4" xr:uid="{00000000-0005-0000-0000-000005000000}"/>
    <cellStyle name="Satisfaisant 2" xfId="5" xr:uid="{00000000-0005-0000-0000-000006000000}"/>
  </cellStyles>
  <dxfs count="1">
    <dxf>
      <font>
        <b/>
        <i val="0"/>
        <strike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23" lockText="1" noThreeD="1"/>
</file>

<file path=xl/ctrlProps/ctrlProp2.xml><?xml version="1.0" encoding="utf-8"?>
<formControlPr xmlns="http://schemas.microsoft.com/office/spreadsheetml/2009/9/main" objectType="CheckBox" fmlaLink="$C24" lockText="1" noThreeD="1"/>
</file>

<file path=xl/ctrlProps/ctrlProp3.xml><?xml version="1.0" encoding="utf-8"?>
<formControlPr xmlns="http://schemas.microsoft.com/office/spreadsheetml/2009/9/main" objectType="CheckBox" fmlaLink="$C25" lockText="1" noThreeD="1"/>
</file>

<file path=xl/ctrlProps/ctrlProp4.xml><?xml version="1.0" encoding="utf-8"?>
<formControlPr xmlns="http://schemas.microsoft.com/office/spreadsheetml/2009/9/main" objectType="CheckBox" fmlaLink="$C26" lockText="1" noThreeD="1"/>
</file>

<file path=xl/ctrlProps/ctrlProp5.xml><?xml version="1.0" encoding="utf-8"?>
<formControlPr xmlns="http://schemas.microsoft.com/office/spreadsheetml/2009/9/main" objectType="CheckBox" fmlaLink="$C27" lockText="1" noThreeD="1"/>
</file>

<file path=xl/ctrlProps/ctrlProp6.xml><?xml version="1.0" encoding="utf-8"?>
<formControlPr xmlns="http://schemas.microsoft.com/office/spreadsheetml/2009/9/main" objectType="CheckBox" fmlaLink="$C$38" lockText="1" noThreeD="1"/>
</file>

<file path=xl/ctrlProps/ctrlProp7.xml><?xml version="1.0" encoding="utf-8"?>
<formControlPr xmlns="http://schemas.microsoft.com/office/spreadsheetml/2009/9/main" objectType="CheckBox" fmlaLink="$C$39" lockText="1" noThreeD="1"/>
</file>

<file path=xl/ctrlProps/ctrlProp8.xml><?xml version="1.0" encoding="utf-8"?>
<formControlPr xmlns="http://schemas.microsoft.com/office/spreadsheetml/2009/9/main" objectType="CheckBox" fmlaLink="$C$40" lockText="1" noThreeD="1"/>
</file>

<file path=xl/ctrlProps/ctrlProp9.xml><?xml version="1.0" encoding="utf-8"?>
<formControlPr xmlns="http://schemas.microsoft.com/office/spreadsheetml/2009/9/main" objectType="CheckBox" fmlaLink="$C$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57150</xdr:rowOff>
    </xdr:from>
    <xdr:ext cx="124777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4775" y="57150"/>
          <a:ext cx="1247775" cy="60007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171450</xdr:colOff>
          <xdr:row>22</xdr:row>
          <xdr:rowOff>0</xdr:rowOff>
        </xdr:from>
        <xdr:to>
          <xdr:col>2</xdr:col>
          <xdr:colOff>447675</xdr:colOff>
          <xdr:row>23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0</xdr:rowOff>
        </xdr:from>
        <xdr:to>
          <xdr:col>2</xdr:col>
          <xdr:colOff>447675</xdr:colOff>
          <xdr:row>24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2</xdr:col>
          <xdr:colOff>447675</xdr:colOff>
          <xdr:row>25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0</xdr:rowOff>
        </xdr:from>
        <xdr:to>
          <xdr:col>2</xdr:col>
          <xdr:colOff>447675</xdr:colOff>
          <xdr:row>26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0</xdr:rowOff>
        </xdr:from>
        <xdr:to>
          <xdr:col>2</xdr:col>
          <xdr:colOff>447675</xdr:colOff>
          <xdr:row>27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0</xdr:rowOff>
        </xdr:from>
        <xdr:to>
          <xdr:col>2</xdr:col>
          <xdr:colOff>447675</xdr:colOff>
          <xdr:row>38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xdr:row>
          <xdr:rowOff>0</xdr:rowOff>
        </xdr:from>
        <xdr:to>
          <xdr:col>2</xdr:col>
          <xdr:colOff>447675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39</xdr:row>
          <xdr:rowOff>0</xdr:rowOff>
        </xdr:from>
        <xdr:to>
          <xdr:col>2</xdr:col>
          <xdr:colOff>447675</xdr:colOff>
          <xdr:row>40</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40</xdr:row>
          <xdr:rowOff>0</xdr:rowOff>
        </xdr:from>
        <xdr:to>
          <xdr:col>2</xdr:col>
          <xdr:colOff>447675</xdr:colOff>
          <xdr:row>41</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1362075</xdr:colOff>
      <xdr:row>0</xdr:row>
      <xdr:rowOff>38100</xdr:rowOff>
    </xdr:from>
    <xdr:to>
      <xdr:col>0</xdr:col>
      <xdr:colOff>2333625</xdr:colOff>
      <xdr:row>3</xdr:row>
      <xdr:rowOff>0</xdr:rowOff>
    </xdr:to>
    <xdr:pic>
      <xdr:nvPicPr>
        <xdr:cNvPr id="3" name="image1.png">
          <a:extLst>
            <a:ext uri="{FF2B5EF4-FFF2-40B4-BE49-F238E27FC236}">
              <a16:creationId xmlns:a16="http://schemas.microsoft.com/office/drawing/2014/main" id="{FD04433F-4364-82A1-8ABE-5D641244CBBB}"/>
            </a:ext>
          </a:extLst>
        </xdr:cNvPr>
        <xdr:cNvPicPr/>
      </xdr:nvPicPr>
      <xdr:blipFill>
        <a:blip xmlns:r="http://schemas.openxmlformats.org/officeDocument/2006/relationships" r:embed="rId2"/>
        <a:srcRect/>
        <a:stretch>
          <a:fillRect/>
        </a:stretch>
      </xdr:blipFill>
      <xdr:spPr>
        <a:xfrm>
          <a:off x="1362075" y="38100"/>
          <a:ext cx="971550" cy="647700"/>
        </a:xfrm>
        <a:prstGeom prst="rect">
          <a:avLst/>
        </a:prstGeom>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89"/>
  <sheetViews>
    <sheetView workbookViewId="0">
      <selection activeCell="A17" sqref="A17"/>
    </sheetView>
  </sheetViews>
  <sheetFormatPr baseColWidth="10" defaultColWidth="14.42578125" defaultRowHeight="15" customHeight="1" x14ac:dyDescent="0.25"/>
  <cols>
    <col min="1" max="1" width="52.85546875" customWidth="1"/>
    <col min="2" max="2" width="9.7109375" customWidth="1"/>
    <col min="3" max="3" width="9.42578125" customWidth="1"/>
    <col min="4" max="4" width="10.85546875" customWidth="1"/>
    <col min="5" max="10" width="9.85546875" customWidth="1"/>
    <col min="11" max="11" width="9.42578125" customWidth="1"/>
    <col min="12" max="14" width="8.42578125" customWidth="1"/>
    <col min="15" max="15" width="10.42578125" customWidth="1"/>
    <col min="16" max="26" width="10.7109375" customWidth="1"/>
  </cols>
  <sheetData>
    <row r="1" spans="1:5" x14ac:dyDescent="0.25">
      <c r="B1" s="233" t="s">
        <v>0</v>
      </c>
      <c r="C1" s="234"/>
      <c r="D1" s="1" t="s">
        <v>1</v>
      </c>
      <c r="E1" s="1"/>
    </row>
    <row r="2" spans="1:5" x14ac:dyDescent="0.25">
      <c r="A2" s="2" t="s">
        <v>2</v>
      </c>
      <c r="B2" s="3" t="s">
        <v>3</v>
      </c>
      <c r="C2" s="4" t="s">
        <v>4</v>
      </c>
      <c r="D2" s="2" t="s">
        <v>3</v>
      </c>
      <c r="E2" s="4" t="s">
        <v>4</v>
      </c>
    </row>
    <row r="3" spans="1:5" x14ac:dyDescent="0.25">
      <c r="A3" s="5" t="s">
        <v>5</v>
      </c>
      <c r="B3" s="6">
        <v>50</v>
      </c>
      <c r="C3" s="7">
        <f t="shared" ref="C3:C8" si="0">$B3*90%</f>
        <v>45</v>
      </c>
      <c r="D3" s="8">
        <f t="shared" ref="D3:E10" si="1">MROUND(B3*$G$93,0.5)</f>
        <v>0</v>
      </c>
      <c r="E3" s="8">
        <f t="shared" si="1"/>
        <v>0</v>
      </c>
    </row>
    <row r="4" spans="1:5" x14ac:dyDescent="0.25">
      <c r="A4" s="9" t="s">
        <v>154</v>
      </c>
      <c r="B4" s="10">
        <v>30</v>
      </c>
      <c r="C4" s="7">
        <f t="shared" si="0"/>
        <v>27</v>
      </c>
      <c r="D4" s="8">
        <f t="shared" si="1"/>
        <v>0</v>
      </c>
      <c r="E4" s="8">
        <f t="shared" si="1"/>
        <v>0</v>
      </c>
    </row>
    <row r="5" spans="1:5" x14ac:dyDescent="0.25">
      <c r="A5" s="11" t="s">
        <v>6</v>
      </c>
      <c r="B5" s="12">
        <v>80</v>
      </c>
      <c r="C5" s="7">
        <f t="shared" si="0"/>
        <v>72</v>
      </c>
      <c r="D5" s="8">
        <f t="shared" si="1"/>
        <v>0</v>
      </c>
      <c r="E5" s="8">
        <f t="shared" si="1"/>
        <v>0</v>
      </c>
    </row>
    <row r="6" spans="1:5" x14ac:dyDescent="0.25">
      <c r="A6" s="13" t="s">
        <v>7</v>
      </c>
      <c r="B6" s="12">
        <v>150</v>
      </c>
      <c r="C6" s="7">
        <f t="shared" si="0"/>
        <v>135</v>
      </c>
      <c r="D6" s="8">
        <f t="shared" si="1"/>
        <v>0</v>
      </c>
      <c r="E6" s="8">
        <f t="shared" si="1"/>
        <v>0</v>
      </c>
    </row>
    <row r="7" spans="1:5" x14ac:dyDescent="0.25">
      <c r="A7" s="11" t="s">
        <v>8</v>
      </c>
      <c r="B7" s="6">
        <v>50</v>
      </c>
      <c r="C7" s="7">
        <f t="shared" si="0"/>
        <v>45</v>
      </c>
      <c r="D7" s="8">
        <f t="shared" si="1"/>
        <v>0</v>
      </c>
      <c r="E7" s="8">
        <f t="shared" si="1"/>
        <v>0</v>
      </c>
    </row>
    <row r="8" spans="1:5" x14ac:dyDescent="0.25">
      <c r="A8" s="11" t="s">
        <v>9</v>
      </c>
      <c r="B8" s="12">
        <v>150</v>
      </c>
      <c r="C8" s="7">
        <f t="shared" si="0"/>
        <v>135</v>
      </c>
      <c r="D8" s="8">
        <f t="shared" si="1"/>
        <v>0</v>
      </c>
      <c r="E8" s="8">
        <f t="shared" si="1"/>
        <v>0</v>
      </c>
    </row>
    <row r="9" spans="1:5" x14ac:dyDescent="0.25">
      <c r="A9" s="14" t="s">
        <v>10</v>
      </c>
      <c r="B9" s="15">
        <v>150</v>
      </c>
      <c r="C9" s="7">
        <v>150</v>
      </c>
      <c r="D9" s="8">
        <f t="shared" si="1"/>
        <v>0</v>
      </c>
      <c r="E9" s="8">
        <f t="shared" si="1"/>
        <v>0</v>
      </c>
    </row>
    <row r="10" spans="1:5" x14ac:dyDescent="0.25">
      <c r="A10" s="88" t="s">
        <v>138</v>
      </c>
      <c r="B10" s="89">
        <v>100</v>
      </c>
      <c r="C10" s="90">
        <v>100</v>
      </c>
      <c r="D10" s="8">
        <f t="shared" si="1"/>
        <v>0</v>
      </c>
      <c r="E10" s="8">
        <f t="shared" si="1"/>
        <v>0</v>
      </c>
    </row>
    <row r="11" spans="1:5" x14ac:dyDescent="0.25">
      <c r="A11" s="2" t="s">
        <v>11</v>
      </c>
      <c r="B11" s="3" t="s">
        <v>3</v>
      </c>
      <c r="C11" s="4" t="s">
        <v>4</v>
      </c>
      <c r="D11" s="2" t="s">
        <v>3</v>
      </c>
      <c r="E11" s="4" t="s">
        <v>4</v>
      </c>
    </row>
    <row r="12" spans="1:5" x14ac:dyDescent="0.25">
      <c r="A12" s="11" t="s">
        <v>12</v>
      </c>
      <c r="B12" s="12">
        <v>70</v>
      </c>
      <c r="C12" s="7">
        <f t="shared" ref="C12:C18" si="2">$B12*90%</f>
        <v>63</v>
      </c>
      <c r="D12" s="8">
        <f t="shared" ref="D12:E19" si="3">MROUND(B12*$G$93,0.5)</f>
        <v>0</v>
      </c>
      <c r="E12" s="8">
        <f t="shared" si="3"/>
        <v>0</v>
      </c>
    </row>
    <row r="13" spans="1:5" x14ac:dyDescent="0.25">
      <c r="A13" s="11" t="s">
        <v>13</v>
      </c>
      <c r="B13" s="6">
        <v>70</v>
      </c>
      <c r="C13" s="7">
        <f t="shared" si="2"/>
        <v>63</v>
      </c>
      <c r="D13" s="8">
        <f t="shared" si="3"/>
        <v>0</v>
      </c>
      <c r="E13" s="8">
        <f t="shared" si="3"/>
        <v>0</v>
      </c>
    </row>
    <row r="14" spans="1:5" x14ac:dyDescent="0.25">
      <c r="A14" s="11" t="s">
        <v>155</v>
      </c>
      <c r="B14" s="6">
        <v>30</v>
      </c>
      <c r="C14" s="7">
        <f t="shared" si="2"/>
        <v>27</v>
      </c>
      <c r="D14" s="8">
        <f t="shared" si="3"/>
        <v>0</v>
      </c>
      <c r="E14" s="8">
        <f t="shared" si="3"/>
        <v>0</v>
      </c>
    </row>
    <row r="15" spans="1:5" x14ac:dyDescent="0.25">
      <c r="A15" s="11" t="s">
        <v>14</v>
      </c>
      <c r="B15" s="12">
        <v>150</v>
      </c>
      <c r="C15" s="7">
        <f>$B15*100%</f>
        <v>150</v>
      </c>
      <c r="D15" s="8">
        <f t="shared" si="3"/>
        <v>0</v>
      </c>
      <c r="E15" s="8">
        <f t="shared" si="3"/>
        <v>0</v>
      </c>
    </row>
    <row r="16" spans="1:5" x14ac:dyDescent="0.25">
      <c r="A16" s="11" t="s">
        <v>15</v>
      </c>
      <c r="B16" s="6">
        <v>70</v>
      </c>
      <c r="C16" s="7">
        <f t="shared" si="2"/>
        <v>63</v>
      </c>
      <c r="D16" s="8">
        <f t="shared" si="3"/>
        <v>0</v>
      </c>
      <c r="E16" s="8">
        <f t="shared" si="3"/>
        <v>0</v>
      </c>
    </row>
    <row r="17" spans="1:6" x14ac:dyDescent="0.25">
      <c r="A17" s="14" t="s">
        <v>10</v>
      </c>
      <c r="B17" s="15">
        <v>150</v>
      </c>
      <c r="C17" s="7">
        <v>150</v>
      </c>
      <c r="D17" s="8">
        <f t="shared" si="3"/>
        <v>0</v>
      </c>
      <c r="E17" s="8">
        <f t="shared" si="3"/>
        <v>0</v>
      </c>
    </row>
    <row r="18" spans="1:6" x14ac:dyDescent="0.25">
      <c r="A18" s="11" t="s">
        <v>16</v>
      </c>
      <c r="B18" s="6">
        <v>50</v>
      </c>
      <c r="C18" s="7">
        <f t="shared" si="2"/>
        <v>45</v>
      </c>
      <c r="D18" s="8">
        <f t="shared" si="3"/>
        <v>0</v>
      </c>
      <c r="E18" s="8">
        <f t="shared" si="3"/>
        <v>0</v>
      </c>
    </row>
    <row r="19" spans="1:6" x14ac:dyDescent="0.25">
      <c r="A19" s="11" t="s">
        <v>17</v>
      </c>
      <c r="B19" s="6">
        <v>150</v>
      </c>
      <c r="C19" s="7">
        <f>$B19*100%</f>
        <v>150</v>
      </c>
      <c r="D19" s="8">
        <f t="shared" si="3"/>
        <v>0</v>
      </c>
      <c r="E19" s="8">
        <f t="shared" si="3"/>
        <v>0</v>
      </c>
    </row>
    <row r="20" spans="1:6" x14ac:dyDescent="0.25">
      <c r="A20" s="2" t="s">
        <v>18</v>
      </c>
      <c r="B20" s="3" t="s">
        <v>3</v>
      </c>
      <c r="C20" s="4" t="s">
        <v>4</v>
      </c>
      <c r="D20" s="2" t="s">
        <v>3</v>
      </c>
      <c r="E20" s="4" t="s">
        <v>4</v>
      </c>
    </row>
    <row r="21" spans="1:6" x14ac:dyDescent="0.25">
      <c r="A21" s="16" t="s">
        <v>19</v>
      </c>
      <c r="B21" s="17">
        <v>50</v>
      </c>
      <c r="C21" s="18">
        <v>50</v>
      </c>
      <c r="D21" s="8">
        <f>MROUND(B21*$G$93,0.5)</f>
        <v>0</v>
      </c>
      <c r="E21" s="19">
        <f>MROUND(C21*$G$93,0.5)</f>
        <v>0</v>
      </c>
    </row>
    <row r="22" spans="1:6" ht="15.75" customHeight="1" x14ac:dyDescent="0.25">
      <c r="A22" s="2" t="s">
        <v>20</v>
      </c>
      <c r="B22" s="3" t="s">
        <v>21</v>
      </c>
      <c r="C22" s="4" t="s">
        <v>4</v>
      </c>
      <c r="D22" s="2" t="s">
        <v>3</v>
      </c>
      <c r="E22" s="4" t="s">
        <v>4</v>
      </c>
    </row>
    <row r="23" spans="1:6" ht="15.75" customHeight="1" x14ac:dyDescent="0.25">
      <c r="A23" s="16" t="s">
        <v>22</v>
      </c>
      <c r="B23" s="17">
        <v>150</v>
      </c>
      <c r="C23" s="18">
        <v>150</v>
      </c>
      <c r="D23" s="8">
        <f>MROUND(B23*$G$93,0.5)</f>
        <v>0</v>
      </c>
      <c r="E23" s="19">
        <f>MROUND(C23*$G$93,0.5)</f>
        <v>0</v>
      </c>
      <c r="F23" s="20" t="s">
        <v>23</v>
      </c>
    </row>
    <row r="24" spans="1:6" ht="15.75" customHeight="1" x14ac:dyDescent="0.25">
      <c r="A24" s="16" t="s">
        <v>24</v>
      </c>
      <c r="B24" s="17">
        <v>300</v>
      </c>
      <c r="C24" s="18">
        <v>300</v>
      </c>
      <c r="D24" s="8">
        <f>MROUND(B24*$G$93,0.5)</f>
        <v>0</v>
      </c>
      <c r="E24" s="19">
        <f>MROUND(C24*$G$93,0.5)</f>
        <v>0</v>
      </c>
      <c r="F24" s="5" t="s">
        <v>25</v>
      </c>
    </row>
    <row r="25" spans="1:6" ht="15.75" customHeight="1" x14ac:dyDescent="0.25">
      <c r="A25" s="2" t="s">
        <v>26</v>
      </c>
      <c r="B25" s="3" t="s">
        <v>3</v>
      </c>
      <c r="C25" s="4" t="s">
        <v>4</v>
      </c>
      <c r="D25" s="2" t="s">
        <v>3</v>
      </c>
      <c r="E25" s="4" t="s">
        <v>4</v>
      </c>
    </row>
    <row r="26" spans="1:6" ht="15.75" customHeight="1" x14ac:dyDescent="0.25">
      <c r="A26" s="21" t="s">
        <v>27</v>
      </c>
      <c r="B26" s="12">
        <v>20</v>
      </c>
      <c r="C26" s="22">
        <f t="shared" ref="C26:C30" si="4">B26</f>
        <v>20</v>
      </c>
      <c r="D26" s="8">
        <f t="shared" ref="D26:E30" si="5">MROUND(B26*$G$93,0.5)</f>
        <v>0</v>
      </c>
      <c r="E26" s="98">
        <f t="shared" si="5"/>
        <v>0</v>
      </c>
    </row>
    <row r="27" spans="1:6" ht="15.75" customHeight="1" x14ac:dyDescent="0.25">
      <c r="A27" s="23" t="s">
        <v>28</v>
      </c>
      <c r="B27" s="6">
        <v>12</v>
      </c>
      <c r="C27" s="22">
        <f t="shared" si="4"/>
        <v>12</v>
      </c>
      <c r="D27" s="8">
        <f t="shared" si="5"/>
        <v>0</v>
      </c>
      <c r="E27" s="98">
        <f t="shared" si="5"/>
        <v>0</v>
      </c>
    </row>
    <row r="28" spans="1:6" ht="15.75" customHeight="1" x14ac:dyDescent="0.25">
      <c r="A28" s="21" t="s">
        <v>29</v>
      </c>
      <c r="B28" s="15">
        <v>300</v>
      </c>
      <c r="C28" s="22">
        <f t="shared" si="4"/>
        <v>300</v>
      </c>
      <c r="D28" s="8">
        <f t="shared" si="5"/>
        <v>0</v>
      </c>
      <c r="E28" s="98">
        <f t="shared" si="5"/>
        <v>0</v>
      </c>
    </row>
    <row r="29" spans="1:6" ht="15.75" customHeight="1" x14ac:dyDescent="0.25">
      <c r="A29" s="23" t="s">
        <v>30</v>
      </c>
      <c r="B29" s="15">
        <v>180</v>
      </c>
      <c r="C29" s="22">
        <f t="shared" si="4"/>
        <v>180</v>
      </c>
      <c r="D29" s="8">
        <f t="shared" si="5"/>
        <v>0</v>
      </c>
      <c r="E29" s="98">
        <f t="shared" si="5"/>
        <v>0</v>
      </c>
    </row>
    <row r="30" spans="1:6" ht="15.75" customHeight="1" x14ac:dyDescent="0.25">
      <c r="A30" s="24" t="s">
        <v>31</v>
      </c>
      <c r="B30" s="15">
        <v>50</v>
      </c>
      <c r="C30" s="22">
        <f t="shared" si="4"/>
        <v>50</v>
      </c>
      <c r="D30" s="8">
        <f t="shared" si="5"/>
        <v>0</v>
      </c>
      <c r="E30" s="98">
        <f t="shared" si="5"/>
        <v>0</v>
      </c>
    </row>
    <row r="31" spans="1:6" ht="15.75" customHeight="1" x14ac:dyDescent="0.25">
      <c r="A31" s="92" t="s">
        <v>139</v>
      </c>
      <c r="B31" s="93"/>
      <c r="C31" s="93"/>
      <c r="D31" s="93"/>
      <c r="E31" s="93"/>
    </row>
    <row r="32" spans="1:6" ht="15.75" customHeight="1" x14ac:dyDescent="0.25">
      <c r="A32" s="11" t="s">
        <v>32</v>
      </c>
      <c r="B32" s="6">
        <v>20</v>
      </c>
      <c r="C32" s="7">
        <f>$B32*90%</f>
        <v>18</v>
      </c>
      <c r="D32" s="8">
        <f>MROUND(B32*$G$93,0.5)</f>
        <v>0</v>
      </c>
      <c r="E32" s="8">
        <f>MROUND(C32*$G$93,0.5)</f>
        <v>0</v>
      </c>
    </row>
    <row r="33" spans="1:9" ht="15.75" customHeight="1" x14ac:dyDescent="0.25">
      <c r="A33" s="25"/>
      <c r="B33" s="15"/>
      <c r="C33" s="26"/>
      <c r="D33" s="26"/>
      <c r="E33" s="26"/>
      <c r="F33" s="26"/>
      <c r="G33" s="26"/>
      <c r="H33" s="26"/>
      <c r="I33" s="26"/>
    </row>
    <row r="34" spans="1:9" ht="15.75" customHeight="1" x14ac:dyDescent="0.25">
      <c r="A34" s="2" t="s">
        <v>33</v>
      </c>
      <c r="B34" s="27" t="s">
        <v>3</v>
      </c>
      <c r="C34" s="26"/>
      <c r="D34" s="26"/>
      <c r="E34" s="226" t="s">
        <v>152</v>
      </c>
      <c r="F34" s="26"/>
      <c r="G34" s="26"/>
      <c r="H34" s="26"/>
      <c r="I34" s="26"/>
    </row>
    <row r="35" spans="1:9" ht="15.75" customHeight="1" x14ac:dyDescent="0.25">
      <c r="A35" s="28" t="s">
        <v>34</v>
      </c>
      <c r="B35" s="29">
        <v>40</v>
      </c>
      <c r="C35" s="26"/>
      <c r="D35" s="26"/>
      <c r="E35" s="227" t="s">
        <v>40</v>
      </c>
      <c r="F35" s="26"/>
      <c r="G35" s="26"/>
      <c r="H35" s="26"/>
      <c r="I35" s="26"/>
    </row>
    <row r="36" spans="1:9" ht="15.75" customHeight="1" x14ac:dyDescent="0.25">
      <c r="A36" s="28" t="s">
        <v>35</v>
      </c>
      <c r="B36" s="29">
        <v>35</v>
      </c>
      <c r="C36" s="26"/>
      <c r="D36" s="26"/>
      <c r="E36" s="227" t="s">
        <v>41</v>
      </c>
      <c r="F36" s="26"/>
      <c r="G36" s="26"/>
      <c r="H36" s="26"/>
      <c r="I36" s="26"/>
    </row>
    <row r="37" spans="1:9" ht="15.75" customHeight="1" x14ac:dyDescent="0.25">
      <c r="A37" s="28" t="s">
        <v>36</v>
      </c>
      <c r="B37" s="29">
        <v>25</v>
      </c>
      <c r="C37" s="26"/>
      <c r="D37" s="26"/>
      <c r="E37" s="227" t="s">
        <v>42</v>
      </c>
      <c r="F37" s="26"/>
      <c r="G37" s="26"/>
      <c r="H37" s="26"/>
      <c r="I37" s="26"/>
    </row>
    <row r="38" spans="1:9" ht="15.75" customHeight="1" x14ac:dyDescent="0.25">
      <c r="A38" s="30" t="s">
        <v>37</v>
      </c>
      <c r="B38" s="31">
        <v>40</v>
      </c>
      <c r="C38" s="26"/>
      <c r="D38" s="26"/>
      <c r="E38" s="228" t="s">
        <v>43</v>
      </c>
      <c r="F38" s="26"/>
      <c r="G38" s="26"/>
      <c r="H38" s="26"/>
      <c r="I38" s="26"/>
    </row>
    <row r="39" spans="1:9" ht="15.75" customHeight="1" x14ac:dyDescent="0.25">
      <c r="A39" s="32" t="s">
        <v>38</v>
      </c>
      <c r="B39" s="33">
        <v>25</v>
      </c>
      <c r="C39" s="26"/>
      <c r="D39" s="26"/>
      <c r="E39" s="26"/>
      <c r="F39" s="26"/>
      <c r="G39" s="26"/>
      <c r="H39" s="26"/>
      <c r="I39" s="26"/>
    </row>
    <row r="40" spans="1:9" ht="15.75" customHeight="1" x14ac:dyDescent="0.25">
      <c r="A40" s="26"/>
      <c r="B40" s="26"/>
      <c r="C40" s="26"/>
      <c r="D40" s="26"/>
      <c r="E40" s="26"/>
      <c r="F40" s="26"/>
      <c r="G40" s="26"/>
      <c r="H40" s="26"/>
      <c r="I40" s="26"/>
    </row>
    <row r="41" spans="1:9" ht="15.75" customHeight="1" x14ac:dyDescent="0.25">
      <c r="A41" s="2" t="s">
        <v>39</v>
      </c>
      <c r="B41" s="3" t="s">
        <v>40</v>
      </c>
      <c r="C41" s="3" t="s">
        <v>41</v>
      </c>
      <c r="D41" s="3" t="s">
        <v>42</v>
      </c>
      <c r="E41" s="34" t="s">
        <v>43</v>
      </c>
      <c r="F41" s="3" t="s">
        <v>40</v>
      </c>
      <c r="G41" s="3" t="s">
        <v>41</v>
      </c>
      <c r="H41" s="3" t="s">
        <v>42</v>
      </c>
      <c r="I41" s="34" t="s">
        <v>43</v>
      </c>
    </row>
    <row r="42" spans="1:9" ht="38.25" x14ac:dyDescent="0.25">
      <c r="A42" s="35" t="s">
        <v>44</v>
      </c>
      <c r="B42" s="36">
        <v>400</v>
      </c>
      <c r="C42" s="37">
        <f t="shared" ref="C42:C82" si="6">ROUNDUP(B42*1.5,0)</f>
        <v>600</v>
      </c>
      <c r="D42" s="38">
        <f t="shared" ref="D42:D82" si="7">B42*4</f>
        <v>1600</v>
      </c>
      <c r="E42" s="39">
        <f t="shared" ref="E42:E82" si="8">B42*15</f>
        <v>6000</v>
      </c>
      <c r="F42" s="40">
        <f t="shared" ref="F42:F74" si="9">IF($D$93=2,B42*$C$93,IF($D$93=3,B42*$C$94,IF($D$93=4,B42*$C$95,IF($D$93=5,B42*$C$96,IF($D$93=5,B42*$C$99,B42)))))</f>
        <v>400</v>
      </c>
      <c r="G42" s="40">
        <f t="shared" ref="G42:G74" si="10">IF($D$93=2,C42*$C$93,IF($D$93=3,C42*$C$94,IF($D$93=4,C42*$C$95,IF($D$93=5,C42*$C$96,IF($D$93=5,C42*$C$99,C42)))))</f>
        <v>600</v>
      </c>
      <c r="H42" s="40">
        <f t="shared" ref="H42:H74" si="11">IF($D$93=2,D42*$C$93,IF($D$93=3,D42*$C$94,IF($D$93=4,D42*$C$95,IF($D$93=5,D42*$C$96,IF($D$93=5,D42*$C$99,D42)))))</f>
        <v>1600</v>
      </c>
      <c r="I42" s="40">
        <f t="shared" ref="I42:I74" si="12">IF($D$93=2,E42*$C$93,IF($D$93=3,E42*$C$94,IF($D$93=4,E42*$C$95,IF($D$93=5,E42*$C$96,IF($D$93=5,E42*$C$99,E42)))))</f>
        <v>6000</v>
      </c>
    </row>
    <row r="43" spans="1:9" ht="38.25" x14ac:dyDescent="0.25">
      <c r="A43" s="35" t="s">
        <v>45</v>
      </c>
      <c r="B43" s="36">
        <v>100</v>
      </c>
      <c r="C43" s="41">
        <f t="shared" si="6"/>
        <v>150</v>
      </c>
      <c r="D43" s="38">
        <f t="shared" si="7"/>
        <v>400</v>
      </c>
      <c r="E43" s="39">
        <f t="shared" si="8"/>
        <v>1500</v>
      </c>
      <c r="F43" s="40">
        <f t="shared" si="9"/>
        <v>100</v>
      </c>
      <c r="G43" s="40">
        <f t="shared" si="10"/>
        <v>150</v>
      </c>
      <c r="H43" s="40">
        <f t="shared" si="11"/>
        <v>400</v>
      </c>
      <c r="I43" s="40">
        <f t="shared" si="12"/>
        <v>1500</v>
      </c>
    </row>
    <row r="44" spans="1:9" ht="38.25" x14ac:dyDescent="0.25">
      <c r="A44" s="42" t="s">
        <v>46</v>
      </c>
      <c r="B44" s="43">
        <v>200</v>
      </c>
      <c r="C44" s="44">
        <f t="shared" si="6"/>
        <v>300</v>
      </c>
      <c r="D44" s="44">
        <f t="shared" si="7"/>
        <v>800</v>
      </c>
      <c r="E44" s="45">
        <f t="shared" si="8"/>
        <v>3000</v>
      </c>
      <c r="F44" s="46">
        <f t="shared" si="9"/>
        <v>200</v>
      </c>
      <c r="G44" s="46">
        <f t="shared" si="10"/>
        <v>300</v>
      </c>
      <c r="H44" s="46">
        <f t="shared" si="11"/>
        <v>800</v>
      </c>
      <c r="I44" s="46">
        <f t="shared" si="12"/>
        <v>3000</v>
      </c>
    </row>
    <row r="45" spans="1:9" ht="25.5" x14ac:dyDescent="0.25">
      <c r="A45" s="42" t="s">
        <v>47</v>
      </c>
      <c r="B45" s="47">
        <v>80</v>
      </c>
      <c r="C45" s="44">
        <f t="shared" si="6"/>
        <v>120</v>
      </c>
      <c r="D45" s="44">
        <f t="shared" si="7"/>
        <v>320</v>
      </c>
      <c r="E45" s="45">
        <f t="shared" si="8"/>
        <v>1200</v>
      </c>
      <c r="F45" s="46">
        <f t="shared" si="9"/>
        <v>80</v>
      </c>
      <c r="G45" s="46">
        <f t="shared" si="10"/>
        <v>120</v>
      </c>
      <c r="H45" s="46">
        <f t="shared" si="11"/>
        <v>320</v>
      </c>
      <c r="I45" s="46">
        <f t="shared" si="12"/>
        <v>1200</v>
      </c>
    </row>
    <row r="46" spans="1:9" ht="51" x14ac:dyDescent="0.25">
      <c r="A46" s="48" t="s">
        <v>48</v>
      </c>
      <c r="B46" s="49">
        <v>360</v>
      </c>
      <c r="C46" s="50">
        <f t="shared" si="6"/>
        <v>540</v>
      </c>
      <c r="D46" s="50">
        <f t="shared" si="7"/>
        <v>1440</v>
      </c>
      <c r="E46" s="51">
        <f t="shared" si="8"/>
        <v>5400</v>
      </c>
      <c r="F46" s="52">
        <f t="shared" si="9"/>
        <v>360</v>
      </c>
      <c r="G46" s="52">
        <f t="shared" si="10"/>
        <v>540</v>
      </c>
      <c r="H46" s="52">
        <f t="shared" si="11"/>
        <v>1440</v>
      </c>
      <c r="I46" s="52">
        <f t="shared" si="12"/>
        <v>5400</v>
      </c>
    </row>
    <row r="47" spans="1:9" ht="25.5" x14ac:dyDescent="0.25">
      <c r="A47" s="48" t="s">
        <v>49</v>
      </c>
      <c r="B47" s="49">
        <v>180</v>
      </c>
      <c r="C47" s="50">
        <f t="shared" si="6"/>
        <v>270</v>
      </c>
      <c r="D47" s="50">
        <f t="shared" si="7"/>
        <v>720</v>
      </c>
      <c r="E47" s="51">
        <f t="shared" si="8"/>
        <v>2700</v>
      </c>
      <c r="F47" s="52">
        <f t="shared" si="9"/>
        <v>180</v>
      </c>
      <c r="G47" s="52">
        <f t="shared" si="10"/>
        <v>270</v>
      </c>
      <c r="H47" s="52">
        <f t="shared" si="11"/>
        <v>720</v>
      </c>
      <c r="I47" s="52">
        <f t="shared" si="12"/>
        <v>2700</v>
      </c>
    </row>
    <row r="48" spans="1:9" ht="25.5" x14ac:dyDescent="0.25">
      <c r="A48" s="48" t="s">
        <v>50</v>
      </c>
      <c r="B48" s="49">
        <v>170</v>
      </c>
      <c r="C48" s="50">
        <f t="shared" si="6"/>
        <v>255</v>
      </c>
      <c r="D48" s="50">
        <f t="shared" si="7"/>
        <v>680</v>
      </c>
      <c r="E48" s="51">
        <f t="shared" si="8"/>
        <v>2550</v>
      </c>
      <c r="F48" s="52">
        <f t="shared" si="9"/>
        <v>170</v>
      </c>
      <c r="G48" s="52">
        <f t="shared" si="10"/>
        <v>255</v>
      </c>
      <c r="H48" s="52">
        <f t="shared" si="11"/>
        <v>680</v>
      </c>
      <c r="I48" s="52">
        <f t="shared" si="12"/>
        <v>2550</v>
      </c>
    </row>
    <row r="49" spans="1:9" ht="15.75" customHeight="1" x14ac:dyDescent="0.25">
      <c r="A49" s="53" t="s">
        <v>51</v>
      </c>
      <c r="B49" s="36">
        <v>300</v>
      </c>
      <c r="C49" s="41">
        <f t="shared" si="6"/>
        <v>450</v>
      </c>
      <c r="D49" s="41">
        <f t="shared" si="7"/>
        <v>1200</v>
      </c>
      <c r="E49" s="54">
        <f t="shared" si="8"/>
        <v>4500</v>
      </c>
      <c r="F49" s="40">
        <f t="shared" si="9"/>
        <v>300</v>
      </c>
      <c r="G49" s="40">
        <f t="shared" si="10"/>
        <v>450</v>
      </c>
      <c r="H49" s="40">
        <f t="shared" si="11"/>
        <v>1200</v>
      </c>
      <c r="I49" s="40">
        <f t="shared" si="12"/>
        <v>4500</v>
      </c>
    </row>
    <row r="50" spans="1:9" ht="15.75" customHeight="1" x14ac:dyDescent="0.25">
      <c r="A50" s="55" t="s">
        <v>52</v>
      </c>
      <c r="B50" s="36">
        <v>60</v>
      </c>
      <c r="C50" s="41">
        <f t="shared" si="6"/>
        <v>90</v>
      </c>
      <c r="D50" s="41">
        <f t="shared" si="7"/>
        <v>240</v>
      </c>
      <c r="E50" s="54">
        <f t="shared" si="8"/>
        <v>900</v>
      </c>
      <c r="F50" s="40">
        <f t="shared" si="9"/>
        <v>60</v>
      </c>
      <c r="G50" s="40">
        <f t="shared" si="10"/>
        <v>90</v>
      </c>
      <c r="H50" s="40">
        <f t="shared" si="11"/>
        <v>240</v>
      </c>
      <c r="I50" s="40">
        <f t="shared" si="12"/>
        <v>900</v>
      </c>
    </row>
    <row r="51" spans="1:9" ht="25.5" x14ac:dyDescent="0.25">
      <c r="A51" s="56" t="s">
        <v>53</v>
      </c>
      <c r="B51" s="57">
        <v>15</v>
      </c>
      <c r="C51" s="41">
        <f t="shared" si="6"/>
        <v>23</v>
      </c>
      <c r="D51" s="41">
        <f t="shared" si="7"/>
        <v>60</v>
      </c>
      <c r="E51" s="54">
        <f t="shared" si="8"/>
        <v>225</v>
      </c>
      <c r="F51" s="40">
        <f t="shared" si="9"/>
        <v>15</v>
      </c>
      <c r="G51" s="40">
        <f t="shared" si="10"/>
        <v>23</v>
      </c>
      <c r="H51" s="40">
        <f t="shared" si="11"/>
        <v>60</v>
      </c>
      <c r="I51" s="40">
        <f t="shared" si="12"/>
        <v>225</v>
      </c>
    </row>
    <row r="52" spans="1:9" ht="15.75" customHeight="1" x14ac:dyDescent="0.25">
      <c r="A52" s="55" t="s">
        <v>54</v>
      </c>
      <c r="B52" s="58">
        <v>20</v>
      </c>
      <c r="C52" s="41">
        <f t="shared" si="6"/>
        <v>30</v>
      </c>
      <c r="D52" s="41">
        <f t="shared" si="7"/>
        <v>80</v>
      </c>
      <c r="E52" s="54">
        <f t="shared" si="8"/>
        <v>300</v>
      </c>
      <c r="F52" s="40">
        <f t="shared" si="9"/>
        <v>20</v>
      </c>
      <c r="G52" s="40">
        <f t="shared" si="10"/>
        <v>30</v>
      </c>
      <c r="H52" s="40">
        <f t="shared" si="11"/>
        <v>80</v>
      </c>
      <c r="I52" s="40">
        <f t="shared" si="12"/>
        <v>300</v>
      </c>
    </row>
    <row r="53" spans="1:9" ht="15.75" customHeight="1" x14ac:dyDescent="0.25">
      <c r="A53" s="55" t="s">
        <v>55</v>
      </c>
      <c r="B53" s="58">
        <v>20</v>
      </c>
      <c r="C53" s="41">
        <f t="shared" si="6"/>
        <v>30</v>
      </c>
      <c r="D53" s="41">
        <f t="shared" si="7"/>
        <v>80</v>
      </c>
      <c r="E53" s="54">
        <f t="shared" si="8"/>
        <v>300</v>
      </c>
      <c r="F53" s="40">
        <f t="shared" si="9"/>
        <v>20</v>
      </c>
      <c r="G53" s="40">
        <f t="shared" si="10"/>
        <v>30</v>
      </c>
      <c r="H53" s="40">
        <f t="shared" si="11"/>
        <v>80</v>
      </c>
      <c r="I53" s="40">
        <f t="shared" si="12"/>
        <v>300</v>
      </c>
    </row>
    <row r="54" spans="1:9" ht="15.75" customHeight="1" x14ac:dyDescent="0.25">
      <c r="A54" s="55" t="s">
        <v>56</v>
      </c>
      <c r="B54" s="58">
        <v>48</v>
      </c>
      <c r="C54" s="41">
        <f t="shared" si="6"/>
        <v>72</v>
      </c>
      <c r="D54" s="41">
        <f t="shared" si="7"/>
        <v>192</v>
      </c>
      <c r="E54" s="54">
        <f t="shared" si="8"/>
        <v>720</v>
      </c>
      <c r="F54" s="40">
        <f t="shared" si="9"/>
        <v>48</v>
      </c>
      <c r="G54" s="40">
        <f t="shared" si="10"/>
        <v>72</v>
      </c>
      <c r="H54" s="40">
        <f t="shared" si="11"/>
        <v>192</v>
      </c>
      <c r="I54" s="40">
        <f t="shared" si="12"/>
        <v>720</v>
      </c>
    </row>
    <row r="55" spans="1:9" ht="15.75" customHeight="1" x14ac:dyDescent="0.25">
      <c r="A55" s="55" t="s">
        <v>57</v>
      </c>
      <c r="B55" s="57">
        <v>48</v>
      </c>
      <c r="C55" s="41">
        <f t="shared" si="6"/>
        <v>72</v>
      </c>
      <c r="D55" s="41">
        <f t="shared" si="7"/>
        <v>192</v>
      </c>
      <c r="E55" s="54">
        <f t="shared" si="8"/>
        <v>720</v>
      </c>
      <c r="F55" s="40">
        <f t="shared" si="9"/>
        <v>48</v>
      </c>
      <c r="G55" s="40">
        <f t="shared" si="10"/>
        <v>72</v>
      </c>
      <c r="H55" s="40">
        <f t="shared" si="11"/>
        <v>192</v>
      </c>
      <c r="I55" s="40">
        <f t="shared" si="12"/>
        <v>720</v>
      </c>
    </row>
    <row r="56" spans="1:9" ht="15.75" customHeight="1" x14ac:dyDescent="0.25">
      <c r="A56" s="55" t="s">
        <v>57</v>
      </c>
      <c r="B56" s="57">
        <v>48</v>
      </c>
      <c r="C56" s="41">
        <f t="shared" si="6"/>
        <v>72</v>
      </c>
      <c r="D56" s="41">
        <f t="shared" si="7"/>
        <v>192</v>
      </c>
      <c r="E56" s="54">
        <f t="shared" si="8"/>
        <v>720</v>
      </c>
      <c r="F56" s="40">
        <f t="shared" si="9"/>
        <v>48</v>
      </c>
      <c r="G56" s="40">
        <f t="shared" si="10"/>
        <v>72</v>
      </c>
      <c r="H56" s="40">
        <f t="shared" si="11"/>
        <v>192</v>
      </c>
      <c r="I56" s="40">
        <f t="shared" si="12"/>
        <v>720</v>
      </c>
    </row>
    <row r="57" spans="1:9" ht="15.75" customHeight="1" x14ac:dyDescent="0.25">
      <c r="A57" s="59" t="s">
        <v>57</v>
      </c>
      <c r="B57" s="57">
        <v>48</v>
      </c>
      <c r="C57" s="41">
        <f t="shared" si="6"/>
        <v>72</v>
      </c>
      <c r="D57" s="41">
        <f t="shared" si="7"/>
        <v>192</v>
      </c>
      <c r="E57" s="54">
        <f t="shared" si="8"/>
        <v>720</v>
      </c>
      <c r="F57" s="40">
        <f t="shared" si="9"/>
        <v>48</v>
      </c>
      <c r="G57" s="40">
        <f t="shared" si="10"/>
        <v>72</v>
      </c>
      <c r="H57" s="40">
        <f t="shared" si="11"/>
        <v>192</v>
      </c>
      <c r="I57" s="40">
        <f t="shared" si="12"/>
        <v>720</v>
      </c>
    </row>
    <row r="58" spans="1:9" ht="25.5" x14ac:dyDescent="0.25">
      <c r="A58" s="60" t="s">
        <v>58</v>
      </c>
      <c r="B58" s="57">
        <v>100</v>
      </c>
      <c r="C58" s="41">
        <f t="shared" si="6"/>
        <v>150</v>
      </c>
      <c r="D58" s="41">
        <f t="shared" si="7"/>
        <v>400</v>
      </c>
      <c r="E58" s="54">
        <f t="shared" si="8"/>
        <v>1500</v>
      </c>
      <c r="F58" s="40">
        <f t="shared" si="9"/>
        <v>100</v>
      </c>
      <c r="G58" s="40">
        <f t="shared" si="10"/>
        <v>150</v>
      </c>
      <c r="H58" s="40">
        <f t="shared" si="11"/>
        <v>400</v>
      </c>
      <c r="I58" s="40">
        <f t="shared" si="12"/>
        <v>1500</v>
      </c>
    </row>
    <row r="59" spans="1:9" ht="25.5" x14ac:dyDescent="0.25">
      <c r="A59" s="53" t="s">
        <v>59</v>
      </c>
      <c r="B59" s="57">
        <v>60</v>
      </c>
      <c r="C59" s="41">
        <f t="shared" si="6"/>
        <v>90</v>
      </c>
      <c r="D59" s="41">
        <f t="shared" si="7"/>
        <v>240</v>
      </c>
      <c r="E59" s="54">
        <f t="shared" si="8"/>
        <v>900</v>
      </c>
      <c r="F59" s="40">
        <f t="shared" si="9"/>
        <v>60</v>
      </c>
      <c r="G59" s="40">
        <f t="shared" si="10"/>
        <v>90</v>
      </c>
      <c r="H59" s="40">
        <f t="shared" si="11"/>
        <v>240</v>
      </c>
      <c r="I59" s="40">
        <f t="shared" si="12"/>
        <v>900</v>
      </c>
    </row>
    <row r="60" spans="1:9" ht="15.75" customHeight="1" x14ac:dyDescent="0.25">
      <c r="A60" s="53" t="s">
        <v>60</v>
      </c>
      <c r="B60" s="57">
        <v>40</v>
      </c>
      <c r="C60" s="41">
        <f t="shared" si="6"/>
        <v>60</v>
      </c>
      <c r="D60" s="41">
        <f t="shared" si="7"/>
        <v>160</v>
      </c>
      <c r="E60" s="54">
        <f t="shared" si="8"/>
        <v>600</v>
      </c>
      <c r="F60" s="40">
        <f t="shared" si="9"/>
        <v>40</v>
      </c>
      <c r="G60" s="40">
        <f t="shared" si="10"/>
        <v>60</v>
      </c>
      <c r="H60" s="40">
        <f t="shared" si="11"/>
        <v>160</v>
      </c>
      <c r="I60" s="40">
        <f t="shared" si="12"/>
        <v>600</v>
      </c>
    </row>
    <row r="61" spans="1:9" ht="15.75" customHeight="1" x14ac:dyDescent="0.25">
      <c r="A61" s="55" t="s">
        <v>61</v>
      </c>
      <c r="B61" s="58">
        <v>30</v>
      </c>
      <c r="C61" s="41">
        <f t="shared" si="6"/>
        <v>45</v>
      </c>
      <c r="D61" s="41">
        <f t="shared" si="7"/>
        <v>120</v>
      </c>
      <c r="E61" s="54">
        <f t="shared" si="8"/>
        <v>450</v>
      </c>
      <c r="F61" s="40">
        <f t="shared" si="9"/>
        <v>30</v>
      </c>
      <c r="G61" s="40">
        <f t="shared" si="10"/>
        <v>45</v>
      </c>
      <c r="H61" s="40">
        <f t="shared" si="11"/>
        <v>120</v>
      </c>
      <c r="I61" s="40">
        <f t="shared" si="12"/>
        <v>450</v>
      </c>
    </row>
    <row r="62" spans="1:9" ht="15.75" customHeight="1" x14ac:dyDescent="0.25">
      <c r="A62" s="55" t="s">
        <v>62</v>
      </c>
      <c r="B62" s="58">
        <v>20</v>
      </c>
      <c r="C62" s="41">
        <f t="shared" si="6"/>
        <v>30</v>
      </c>
      <c r="D62" s="41">
        <f t="shared" si="7"/>
        <v>80</v>
      </c>
      <c r="E62" s="54">
        <f t="shared" si="8"/>
        <v>300</v>
      </c>
      <c r="F62" s="40">
        <f t="shared" si="9"/>
        <v>20</v>
      </c>
      <c r="G62" s="40">
        <f t="shared" si="10"/>
        <v>30</v>
      </c>
      <c r="H62" s="40">
        <f t="shared" si="11"/>
        <v>80</v>
      </c>
      <c r="I62" s="40">
        <f t="shared" si="12"/>
        <v>300</v>
      </c>
    </row>
    <row r="63" spans="1:9" ht="15.75" customHeight="1" x14ac:dyDescent="0.25">
      <c r="A63" s="55" t="s">
        <v>63</v>
      </c>
      <c r="B63" s="58">
        <v>20</v>
      </c>
      <c r="C63" s="41">
        <f t="shared" si="6"/>
        <v>30</v>
      </c>
      <c r="D63" s="41">
        <f t="shared" si="7"/>
        <v>80</v>
      </c>
      <c r="E63" s="54">
        <f t="shared" si="8"/>
        <v>300</v>
      </c>
      <c r="F63" s="40">
        <f t="shared" si="9"/>
        <v>20</v>
      </c>
      <c r="G63" s="40">
        <f t="shared" si="10"/>
        <v>30</v>
      </c>
      <c r="H63" s="40">
        <f t="shared" si="11"/>
        <v>80</v>
      </c>
      <c r="I63" s="40">
        <f t="shared" si="12"/>
        <v>300</v>
      </c>
    </row>
    <row r="64" spans="1:9" ht="15.75" customHeight="1" x14ac:dyDescent="0.25">
      <c r="A64" s="55" t="s">
        <v>64</v>
      </c>
      <c r="B64" s="58">
        <v>20</v>
      </c>
      <c r="C64" s="41">
        <f t="shared" si="6"/>
        <v>30</v>
      </c>
      <c r="D64" s="41">
        <f t="shared" si="7"/>
        <v>80</v>
      </c>
      <c r="E64" s="54">
        <f t="shared" si="8"/>
        <v>300</v>
      </c>
      <c r="F64" s="40">
        <f t="shared" si="9"/>
        <v>20</v>
      </c>
      <c r="G64" s="40">
        <f t="shared" si="10"/>
        <v>30</v>
      </c>
      <c r="H64" s="40">
        <f t="shared" si="11"/>
        <v>80</v>
      </c>
      <c r="I64" s="40">
        <f t="shared" si="12"/>
        <v>300</v>
      </c>
    </row>
    <row r="65" spans="1:9" ht="15.75" customHeight="1" x14ac:dyDescent="0.25">
      <c r="A65" s="55" t="s">
        <v>65</v>
      </c>
      <c r="B65" s="58">
        <v>20</v>
      </c>
      <c r="C65" s="41">
        <f t="shared" si="6"/>
        <v>30</v>
      </c>
      <c r="D65" s="41">
        <f t="shared" si="7"/>
        <v>80</v>
      </c>
      <c r="E65" s="54">
        <f t="shared" si="8"/>
        <v>300</v>
      </c>
      <c r="F65" s="40">
        <f t="shared" si="9"/>
        <v>20</v>
      </c>
      <c r="G65" s="40">
        <f t="shared" si="10"/>
        <v>30</v>
      </c>
      <c r="H65" s="40">
        <f t="shared" si="11"/>
        <v>80</v>
      </c>
      <c r="I65" s="40">
        <f t="shared" si="12"/>
        <v>300</v>
      </c>
    </row>
    <row r="66" spans="1:9" ht="15.75" customHeight="1" x14ac:dyDescent="0.25">
      <c r="A66" s="55" t="s">
        <v>66</v>
      </c>
      <c r="B66" s="58">
        <v>10</v>
      </c>
      <c r="C66" s="41">
        <f t="shared" si="6"/>
        <v>15</v>
      </c>
      <c r="D66" s="41">
        <f t="shared" si="7"/>
        <v>40</v>
      </c>
      <c r="E66" s="54">
        <f t="shared" si="8"/>
        <v>150</v>
      </c>
      <c r="F66" s="40">
        <f t="shared" si="9"/>
        <v>10</v>
      </c>
      <c r="G66" s="40">
        <f t="shared" si="10"/>
        <v>15</v>
      </c>
      <c r="H66" s="40">
        <f t="shared" si="11"/>
        <v>40</v>
      </c>
      <c r="I66" s="40">
        <f t="shared" si="12"/>
        <v>150</v>
      </c>
    </row>
    <row r="67" spans="1:9" ht="15.75" customHeight="1" x14ac:dyDescent="0.25">
      <c r="A67" s="55" t="s">
        <v>67</v>
      </c>
      <c r="B67" s="58">
        <v>15</v>
      </c>
      <c r="C67" s="41">
        <f t="shared" si="6"/>
        <v>23</v>
      </c>
      <c r="D67" s="41">
        <f t="shared" si="7"/>
        <v>60</v>
      </c>
      <c r="E67" s="54">
        <f t="shared" si="8"/>
        <v>225</v>
      </c>
      <c r="F67" s="40">
        <f t="shared" si="9"/>
        <v>15</v>
      </c>
      <c r="G67" s="40">
        <f t="shared" si="10"/>
        <v>23</v>
      </c>
      <c r="H67" s="40">
        <f t="shared" si="11"/>
        <v>60</v>
      </c>
      <c r="I67" s="40">
        <f t="shared" si="12"/>
        <v>225</v>
      </c>
    </row>
    <row r="68" spans="1:9" ht="15.75" customHeight="1" x14ac:dyDescent="0.25">
      <c r="A68" s="55" t="s">
        <v>68</v>
      </c>
      <c r="B68" s="58">
        <v>60</v>
      </c>
      <c r="C68" s="41">
        <f t="shared" si="6"/>
        <v>90</v>
      </c>
      <c r="D68" s="41">
        <f t="shared" si="7"/>
        <v>240</v>
      </c>
      <c r="E68" s="54">
        <f t="shared" si="8"/>
        <v>900</v>
      </c>
      <c r="F68" s="40">
        <f t="shared" si="9"/>
        <v>60</v>
      </c>
      <c r="G68" s="40">
        <f t="shared" si="10"/>
        <v>90</v>
      </c>
      <c r="H68" s="40">
        <f t="shared" si="11"/>
        <v>240</v>
      </c>
      <c r="I68" s="40">
        <f t="shared" si="12"/>
        <v>900</v>
      </c>
    </row>
    <row r="69" spans="1:9" ht="15.75" customHeight="1" x14ac:dyDescent="0.25">
      <c r="A69" s="61" t="s">
        <v>69</v>
      </c>
      <c r="B69" s="62">
        <v>60</v>
      </c>
      <c r="C69" s="44">
        <f t="shared" si="6"/>
        <v>90</v>
      </c>
      <c r="D69" s="44">
        <f t="shared" si="7"/>
        <v>240</v>
      </c>
      <c r="E69" s="45">
        <f t="shared" si="8"/>
        <v>900</v>
      </c>
      <c r="F69" s="46">
        <f t="shared" si="9"/>
        <v>60</v>
      </c>
      <c r="G69" s="46">
        <f t="shared" si="10"/>
        <v>90</v>
      </c>
      <c r="H69" s="46">
        <f t="shared" si="11"/>
        <v>240</v>
      </c>
      <c r="I69" s="46">
        <f t="shared" si="12"/>
        <v>900</v>
      </c>
    </row>
    <row r="70" spans="1:9" ht="15.75" customHeight="1" x14ac:dyDescent="0.25">
      <c r="A70" s="61" t="s">
        <v>70</v>
      </c>
      <c r="B70" s="62">
        <v>18</v>
      </c>
      <c r="C70" s="44">
        <f t="shared" si="6"/>
        <v>27</v>
      </c>
      <c r="D70" s="44">
        <f t="shared" si="7"/>
        <v>72</v>
      </c>
      <c r="E70" s="45">
        <f t="shared" si="8"/>
        <v>270</v>
      </c>
      <c r="F70" s="46">
        <f t="shared" si="9"/>
        <v>18</v>
      </c>
      <c r="G70" s="46">
        <f t="shared" si="10"/>
        <v>27</v>
      </c>
      <c r="H70" s="46">
        <f t="shared" si="11"/>
        <v>72</v>
      </c>
      <c r="I70" s="46">
        <f t="shared" si="12"/>
        <v>270</v>
      </c>
    </row>
    <row r="71" spans="1:9" ht="15.75" customHeight="1" x14ac:dyDescent="0.25">
      <c r="A71" s="61" t="s">
        <v>71</v>
      </c>
      <c r="B71" s="62">
        <v>16</v>
      </c>
      <c r="C71" s="44">
        <f t="shared" si="6"/>
        <v>24</v>
      </c>
      <c r="D71" s="44">
        <f t="shared" si="7"/>
        <v>64</v>
      </c>
      <c r="E71" s="45">
        <f t="shared" si="8"/>
        <v>240</v>
      </c>
      <c r="F71" s="46">
        <f t="shared" si="9"/>
        <v>16</v>
      </c>
      <c r="G71" s="46">
        <f t="shared" si="10"/>
        <v>24</v>
      </c>
      <c r="H71" s="46">
        <f t="shared" si="11"/>
        <v>64</v>
      </c>
      <c r="I71" s="46">
        <f t="shared" si="12"/>
        <v>240</v>
      </c>
    </row>
    <row r="72" spans="1:9" ht="15.75" customHeight="1" x14ac:dyDescent="0.25">
      <c r="A72" s="61" t="s">
        <v>72</v>
      </c>
      <c r="B72" s="62">
        <v>80</v>
      </c>
      <c r="C72" s="44">
        <f t="shared" si="6"/>
        <v>120</v>
      </c>
      <c r="D72" s="44">
        <f t="shared" si="7"/>
        <v>320</v>
      </c>
      <c r="E72" s="45">
        <f t="shared" si="8"/>
        <v>1200</v>
      </c>
      <c r="F72" s="46">
        <f t="shared" si="9"/>
        <v>80</v>
      </c>
      <c r="G72" s="46">
        <f t="shared" si="10"/>
        <v>120</v>
      </c>
      <c r="H72" s="46">
        <f t="shared" si="11"/>
        <v>320</v>
      </c>
      <c r="I72" s="46">
        <f t="shared" si="12"/>
        <v>1200</v>
      </c>
    </row>
    <row r="73" spans="1:9" ht="15.75" customHeight="1" x14ac:dyDescent="0.25">
      <c r="A73" s="61" t="s">
        <v>73</v>
      </c>
      <c r="B73" s="62">
        <v>60</v>
      </c>
      <c r="C73" s="44">
        <f t="shared" si="6"/>
        <v>90</v>
      </c>
      <c r="D73" s="44">
        <f t="shared" si="7"/>
        <v>240</v>
      </c>
      <c r="E73" s="45">
        <f t="shared" si="8"/>
        <v>900</v>
      </c>
      <c r="F73" s="46">
        <f t="shared" si="9"/>
        <v>60</v>
      </c>
      <c r="G73" s="46">
        <f t="shared" si="10"/>
        <v>90</v>
      </c>
      <c r="H73" s="46">
        <f t="shared" si="11"/>
        <v>240</v>
      </c>
      <c r="I73" s="46">
        <f t="shared" si="12"/>
        <v>900</v>
      </c>
    </row>
    <row r="74" spans="1:9" ht="15.75" customHeight="1" x14ac:dyDescent="0.25">
      <c r="A74" s="61" t="s">
        <v>74</v>
      </c>
      <c r="B74" s="62">
        <v>12</v>
      </c>
      <c r="C74" s="44">
        <f t="shared" si="6"/>
        <v>18</v>
      </c>
      <c r="D74" s="44">
        <f t="shared" si="7"/>
        <v>48</v>
      </c>
      <c r="E74" s="45">
        <f t="shared" si="8"/>
        <v>180</v>
      </c>
      <c r="F74" s="46">
        <f t="shared" si="9"/>
        <v>12</v>
      </c>
      <c r="G74" s="46">
        <f t="shared" si="10"/>
        <v>18</v>
      </c>
      <c r="H74" s="46">
        <f t="shared" si="11"/>
        <v>48</v>
      </c>
      <c r="I74" s="46">
        <f t="shared" si="12"/>
        <v>180</v>
      </c>
    </row>
    <row r="75" spans="1:9" ht="15.75" customHeight="1" x14ac:dyDescent="0.25">
      <c r="A75" s="63" t="s">
        <v>75</v>
      </c>
      <c r="B75" s="49">
        <v>140</v>
      </c>
      <c r="C75" s="50">
        <f t="shared" si="6"/>
        <v>210</v>
      </c>
      <c r="D75" s="50">
        <f t="shared" si="7"/>
        <v>560</v>
      </c>
      <c r="E75" s="51">
        <f t="shared" si="8"/>
        <v>2100</v>
      </c>
      <c r="F75" s="52">
        <f t="shared" ref="F75:I75" si="13">IF($D$93=2,B75*$C$93,IF($D$93=3,B75*$C$94,IF($D$93=4,B75*$C$95,IF($D$93=5,B75*$C$96,IF($D$93=5,B75*$C$99,B75)))))</f>
        <v>140</v>
      </c>
      <c r="G75" s="52">
        <f t="shared" si="13"/>
        <v>210</v>
      </c>
      <c r="H75" s="52">
        <f t="shared" si="13"/>
        <v>560</v>
      </c>
      <c r="I75" s="52">
        <f t="shared" si="13"/>
        <v>2100</v>
      </c>
    </row>
    <row r="76" spans="1:9" ht="15.75" customHeight="1" x14ac:dyDescent="0.25">
      <c r="A76" s="63" t="s">
        <v>76</v>
      </c>
      <c r="B76" s="49">
        <v>30</v>
      </c>
      <c r="C76" s="50">
        <f t="shared" si="6"/>
        <v>45</v>
      </c>
      <c r="D76" s="50">
        <f t="shared" si="7"/>
        <v>120</v>
      </c>
      <c r="E76" s="51">
        <f t="shared" si="8"/>
        <v>450</v>
      </c>
      <c r="F76" s="52">
        <f t="shared" ref="F76:I76" si="14">IF($D$93=2,B76*$C$93,IF($D$93=3,B76*$C$94,IF($D$93=4,B76*$C$95,IF($D$93=5,B76*$C$96,IF($D$93=5,B76*$C$99,B76)))))</f>
        <v>30</v>
      </c>
      <c r="G76" s="52">
        <f t="shared" si="14"/>
        <v>45</v>
      </c>
      <c r="H76" s="52">
        <f t="shared" si="14"/>
        <v>120</v>
      </c>
      <c r="I76" s="52">
        <f t="shared" si="14"/>
        <v>450</v>
      </c>
    </row>
    <row r="77" spans="1:9" ht="15.75" customHeight="1" x14ac:dyDescent="0.25">
      <c r="A77" s="63" t="s">
        <v>77</v>
      </c>
      <c r="B77" s="49">
        <v>10</v>
      </c>
      <c r="C77" s="50">
        <f t="shared" si="6"/>
        <v>15</v>
      </c>
      <c r="D77" s="50">
        <f t="shared" si="7"/>
        <v>40</v>
      </c>
      <c r="E77" s="51">
        <f t="shared" si="8"/>
        <v>150</v>
      </c>
      <c r="F77" s="52">
        <f t="shared" ref="F77:I77" si="15">IF($D$93=2,B77*$C$93,IF($D$93=3,B77*$C$94,IF($D$93=4,B77*$C$95,IF($D$93=5,B77*$C$96,IF($D$93=5,B77*$C$99,B77)))))</f>
        <v>10</v>
      </c>
      <c r="G77" s="52">
        <f t="shared" si="15"/>
        <v>15</v>
      </c>
      <c r="H77" s="52">
        <f t="shared" si="15"/>
        <v>40</v>
      </c>
      <c r="I77" s="52">
        <f t="shared" si="15"/>
        <v>150</v>
      </c>
    </row>
    <row r="78" spans="1:9" ht="15.75" customHeight="1" x14ac:dyDescent="0.25">
      <c r="A78" s="63" t="s">
        <v>78</v>
      </c>
      <c r="B78" s="49">
        <v>20</v>
      </c>
      <c r="C78" s="50">
        <f t="shared" si="6"/>
        <v>30</v>
      </c>
      <c r="D78" s="50">
        <f t="shared" si="7"/>
        <v>80</v>
      </c>
      <c r="E78" s="51">
        <f t="shared" si="8"/>
        <v>300</v>
      </c>
      <c r="F78" s="52">
        <f t="shared" ref="F78:I78" si="16">IF($D$93=2,B78*$C$93,IF($D$93=3,B78*$C$94,IF($D$93=4,B78*$C$95,IF($D$93=5,B78*$C$96,IF($D$93=5,B78*$C$99,B78)))))</f>
        <v>20</v>
      </c>
      <c r="G78" s="52">
        <f t="shared" si="16"/>
        <v>30</v>
      </c>
      <c r="H78" s="52">
        <f t="shared" si="16"/>
        <v>80</v>
      </c>
      <c r="I78" s="52">
        <f t="shared" si="16"/>
        <v>300</v>
      </c>
    </row>
    <row r="79" spans="1:9" ht="15.75" customHeight="1" x14ac:dyDescent="0.25">
      <c r="A79" s="63" t="s">
        <v>79</v>
      </c>
      <c r="B79" s="49">
        <v>20</v>
      </c>
      <c r="C79" s="50">
        <f t="shared" si="6"/>
        <v>30</v>
      </c>
      <c r="D79" s="50">
        <f t="shared" si="7"/>
        <v>80</v>
      </c>
      <c r="E79" s="51">
        <f t="shared" si="8"/>
        <v>300</v>
      </c>
      <c r="F79" s="52">
        <f t="shared" ref="F79:I79" si="17">IF($D$93=2,B79*$C$93,IF($D$93=3,B79*$C$94,IF($D$93=4,B79*$C$95,IF($D$93=5,B79*$C$96,IF($D$93=5,B79*$C$99,B79)))))</f>
        <v>20</v>
      </c>
      <c r="G79" s="52">
        <f t="shared" si="17"/>
        <v>30</v>
      </c>
      <c r="H79" s="52">
        <f t="shared" si="17"/>
        <v>80</v>
      </c>
      <c r="I79" s="52">
        <f t="shared" si="17"/>
        <v>300</v>
      </c>
    </row>
    <row r="80" spans="1:9" ht="15.75" customHeight="1" x14ac:dyDescent="0.25">
      <c r="A80" s="63" t="s">
        <v>80</v>
      </c>
      <c r="B80" s="49">
        <v>80</v>
      </c>
      <c r="C80" s="50">
        <f t="shared" si="6"/>
        <v>120</v>
      </c>
      <c r="D80" s="50">
        <f t="shared" si="7"/>
        <v>320</v>
      </c>
      <c r="E80" s="51">
        <f t="shared" si="8"/>
        <v>1200</v>
      </c>
      <c r="F80" s="52">
        <f t="shared" ref="F80:I81" si="18">IF($D$93=2,B80*$C$93,IF($D$93=3,B80*$C$94,IF($D$93=4,B80*$C$95,IF($D$93=5,B80*$C$96,IF($D$93=5,B80*$C$99,B80)))))</f>
        <v>80</v>
      </c>
      <c r="G80" s="52">
        <f t="shared" si="18"/>
        <v>120</v>
      </c>
      <c r="H80" s="52">
        <f t="shared" si="18"/>
        <v>320</v>
      </c>
      <c r="I80" s="52">
        <f t="shared" si="18"/>
        <v>1200</v>
      </c>
    </row>
    <row r="81" spans="1:9" ht="15.75" customHeight="1" x14ac:dyDescent="0.25">
      <c r="A81" s="63" t="s">
        <v>140</v>
      </c>
      <c r="B81" s="49">
        <v>20</v>
      </c>
      <c r="C81" s="50">
        <f t="shared" si="6"/>
        <v>30</v>
      </c>
      <c r="D81" s="50">
        <f t="shared" si="7"/>
        <v>80</v>
      </c>
      <c r="E81" s="51">
        <f t="shared" si="8"/>
        <v>300</v>
      </c>
      <c r="F81" s="52">
        <f t="shared" si="18"/>
        <v>20</v>
      </c>
      <c r="G81" s="52">
        <f t="shared" si="18"/>
        <v>30</v>
      </c>
      <c r="H81" s="52">
        <f t="shared" si="18"/>
        <v>80</v>
      </c>
      <c r="I81" s="52">
        <f t="shared" si="18"/>
        <v>300</v>
      </c>
    </row>
    <row r="82" spans="1:9" ht="15.75" customHeight="1" x14ac:dyDescent="0.25">
      <c r="A82" s="63" t="s">
        <v>64</v>
      </c>
      <c r="B82" s="49">
        <v>20</v>
      </c>
      <c r="C82" s="50">
        <f t="shared" si="6"/>
        <v>30</v>
      </c>
      <c r="D82" s="50">
        <f t="shared" si="7"/>
        <v>80</v>
      </c>
      <c r="E82" s="51">
        <f t="shared" si="8"/>
        <v>300</v>
      </c>
      <c r="F82" s="52">
        <f t="shared" ref="F82:I82" si="19">IF($D$93=2,B82*$C$93,IF($D$93=3,B82*$C$94,IF($D$93=4,B82*$C$95,IF($D$93=5,B82*$C$96,IF($D$93=5,B82*$C$99,B82)))))</f>
        <v>20</v>
      </c>
      <c r="G82" s="52">
        <f t="shared" si="19"/>
        <v>30</v>
      </c>
      <c r="H82" s="52">
        <f t="shared" si="19"/>
        <v>80</v>
      </c>
      <c r="I82" s="52">
        <f t="shared" si="19"/>
        <v>300</v>
      </c>
    </row>
    <row r="83" spans="1:9" ht="15.75" customHeight="1" x14ac:dyDescent="0.25"/>
    <row r="84" spans="1:9" ht="15.75" customHeight="1" x14ac:dyDescent="0.25">
      <c r="A84" s="2" t="s">
        <v>141</v>
      </c>
      <c r="B84" s="94"/>
      <c r="C84" s="93"/>
      <c r="D84" s="93"/>
    </row>
    <row r="85" spans="1:9" ht="15.75" customHeight="1" x14ac:dyDescent="0.25">
      <c r="A85" s="5" t="s">
        <v>91</v>
      </c>
      <c r="B85" s="5">
        <v>1</v>
      </c>
      <c r="F85" s="5"/>
      <c r="G85" s="5"/>
    </row>
    <row r="86" spans="1:9" ht="15.75" customHeight="1" x14ac:dyDescent="0.25">
      <c r="A86" s="5" t="s">
        <v>92</v>
      </c>
      <c r="B86" s="5">
        <v>4</v>
      </c>
      <c r="G86" s="5"/>
      <c r="H86" s="5"/>
    </row>
    <row r="87" spans="1:9" ht="15.75" customHeight="1" x14ac:dyDescent="0.25">
      <c r="A87" s="5" t="s">
        <v>93</v>
      </c>
      <c r="B87" s="5">
        <v>30</v>
      </c>
      <c r="H87" s="5"/>
    </row>
    <row r="88" spans="1:9" ht="15.75" customHeight="1" x14ac:dyDescent="0.25">
      <c r="A88" s="5" t="s">
        <v>94</v>
      </c>
      <c r="B88" s="5">
        <v>175</v>
      </c>
    </row>
    <row r="89" spans="1:9" ht="15.75" customHeight="1" x14ac:dyDescent="0.25">
      <c r="A89" s="5" t="s">
        <v>95</v>
      </c>
      <c r="B89" s="5">
        <v>40</v>
      </c>
    </row>
    <row r="90" spans="1:9" ht="15.75" customHeight="1" x14ac:dyDescent="0.25"/>
    <row r="91" spans="1:9" ht="15.75" customHeight="1" x14ac:dyDescent="0.25">
      <c r="A91" s="2" t="s">
        <v>81</v>
      </c>
      <c r="B91" s="93"/>
      <c r="C91" s="93"/>
      <c r="D91" s="93"/>
      <c r="E91" s="93"/>
      <c r="F91" s="93"/>
      <c r="G91" s="93"/>
      <c r="H91" s="93"/>
    </row>
    <row r="92" spans="1:9" ht="15.75" customHeight="1" x14ac:dyDescent="0.25">
      <c r="A92" s="64" t="s">
        <v>82</v>
      </c>
      <c r="B92" s="65">
        <v>1</v>
      </c>
      <c r="C92" s="66">
        <v>1</v>
      </c>
      <c r="E92" s="91" t="s">
        <v>103</v>
      </c>
      <c r="F92" s="91" t="s">
        <v>150</v>
      </c>
      <c r="G92" s="91" t="s">
        <v>151</v>
      </c>
    </row>
    <row r="93" spans="1:9" ht="15.75" customHeight="1" x14ac:dyDescent="0.25">
      <c r="A93" s="64" t="s">
        <v>83</v>
      </c>
      <c r="B93" s="65">
        <v>2</v>
      </c>
      <c r="C93" s="66">
        <v>0.5</v>
      </c>
      <c r="D93" s="232">
        <v>8</v>
      </c>
      <c r="E93" s="5" t="str">
        <f>IF(D93=1,A92,IF(D93=2,A93,IF(OR(D93=3,D93=6,D93=7),A94,IF(D93=4,A95,IF(D93=5,A96,A99)))))</f>
        <v>Résidence et prix</v>
      </c>
      <c r="F93" s="97">
        <f>100%-VLOOKUP(D93,B92:C99,2,FALSE)</f>
        <v>1</v>
      </c>
      <c r="G93" s="97">
        <f>VLOOKUP(D93,B92:C99,2,FALSE)</f>
        <v>0</v>
      </c>
    </row>
    <row r="94" spans="1:9" ht="15.75" customHeight="1" x14ac:dyDescent="0.25">
      <c r="A94" s="64" t="s">
        <v>84</v>
      </c>
      <c r="B94" s="65">
        <v>3</v>
      </c>
      <c r="C94" s="66">
        <v>0.25</v>
      </c>
      <c r="D94" s="67">
        <v>1</v>
      </c>
    </row>
    <row r="95" spans="1:9" ht="15.75" customHeight="1" x14ac:dyDescent="0.25">
      <c r="A95" s="64" t="s">
        <v>153</v>
      </c>
      <c r="B95" s="65">
        <v>4</v>
      </c>
      <c r="C95" s="66">
        <v>0.15</v>
      </c>
    </row>
    <row r="96" spans="1:9" ht="15.75" customHeight="1" x14ac:dyDescent="0.25">
      <c r="A96" s="64" t="s">
        <v>85</v>
      </c>
      <c r="B96" s="65">
        <v>5</v>
      </c>
      <c r="C96" s="66">
        <v>0.1</v>
      </c>
    </row>
    <row r="97" spans="1:19" ht="15.75" customHeight="1" x14ac:dyDescent="0.25">
      <c r="A97" s="64" t="s">
        <v>86</v>
      </c>
      <c r="B97" s="65">
        <v>6</v>
      </c>
      <c r="C97" s="66">
        <v>0.25</v>
      </c>
    </row>
    <row r="98" spans="1:19" ht="15.75" customHeight="1" x14ac:dyDescent="0.25">
      <c r="A98" s="64" t="s">
        <v>87</v>
      </c>
      <c r="B98" s="65">
        <v>7</v>
      </c>
      <c r="C98" s="66">
        <v>0.25</v>
      </c>
    </row>
    <row r="99" spans="1:19" ht="19.5" customHeight="1" x14ac:dyDescent="0.25">
      <c r="A99" s="64" t="s">
        <v>88</v>
      </c>
      <c r="B99" s="65">
        <v>8</v>
      </c>
      <c r="C99" s="66">
        <v>0</v>
      </c>
    </row>
    <row r="100" spans="1:19" ht="15.75" customHeight="1" x14ac:dyDescent="0.25">
      <c r="A100" s="67"/>
      <c r="B100" s="67"/>
      <c r="C100" s="67"/>
      <c r="D100" s="67"/>
      <c r="E100" s="67"/>
      <c r="F100" s="67"/>
      <c r="G100" s="67"/>
      <c r="H100" s="67"/>
      <c r="I100" s="67"/>
      <c r="J100" s="67"/>
      <c r="K100" s="67"/>
      <c r="L100" s="67"/>
      <c r="M100" s="67"/>
      <c r="N100" s="67"/>
      <c r="O100" s="67"/>
      <c r="P100" s="67"/>
      <c r="Q100" s="67"/>
      <c r="R100" s="67"/>
      <c r="S100" s="67"/>
    </row>
    <row r="107" spans="1:19" ht="15.75" customHeight="1" x14ac:dyDescent="0.25"/>
    <row r="108" spans="1:19" ht="15.75" customHeight="1" x14ac:dyDescent="0.25"/>
    <row r="109" spans="1:19" ht="15.75" customHeight="1" x14ac:dyDescent="0.25"/>
    <row r="110" spans="1:19" ht="15.75" customHeight="1" x14ac:dyDescent="0.25"/>
    <row r="111" spans="1:19" ht="15.75" customHeight="1" x14ac:dyDescent="0.25"/>
    <row r="112" spans="1: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heetProtection sheet="1" objects="1" scenarios="1" selectLockedCells="1" selectUnlockedCells="1"/>
  <mergeCells count="1">
    <mergeCell ref="B1:C1"/>
  </mergeCells>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6"/>
  <sheetViews>
    <sheetView showGridLines="0" tabSelected="1" zoomScaleNormal="100" workbookViewId="0">
      <selection activeCell="A11" sqref="A11"/>
    </sheetView>
  </sheetViews>
  <sheetFormatPr baseColWidth="10" defaultColWidth="14.42578125" defaultRowHeight="15" customHeight="1" x14ac:dyDescent="0.25"/>
  <cols>
    <col min="1" max="1" width="60.28515625" customWidth="1"/>
    <col min="2" max="2" width="25.140625" customWidth="1"/>
    <col min="3" max="3" width="7" customWidth="1"/>
    <col min="4" max="4" width="1.85546875" customWidth="1"/>
    <col min="5" max="5" width="12.42578125" customWidth="1"/>
    <col min="6" max="6" width="3.140625" customWidth="1"/>
    <col min="7" max="7" width="11" customWidth="1"/>
    <col min="8" max="8" width="2.85546875" customWidth="1"/>
    <col min="9" max="9" width="13.7109375" customWidth="1"/>
    <col min="10" max="10" width="2.42578125" customWidth="1"/>
    <col min="11" max="11" width="16.140625" customWidth="1"/>
    <col min="12" max="12" width="3.42578125" customWidth="1"/>
    <col min="13" max="13" width="32.42578125" customWidth="1"/>
    <col min="14" max="18" width="16.140625" hidden="1" customWidth="1"/>
    <col min="19" max="19" width="10.85546875" customWidth="1"/>
    <col min="20" max="20" width="12.7109375" customWidth="1"/>
    <col min="21" max="26" width="10.85546875" customWidth="1"/>
  </cols>
  <sheetData>
    <row r="1" spans="1:26" ht="14.25" customHeight="1" x14ac:dyDescent="0.25">
      <c r="A1" s="68"/>
      <c r="B1" s="68"/>
      <c r="C1" s="68"/>
      <c r="D1" s="68"/>
      <c r="E1" s="68"/>
      <c r="F1" s="68"/>
      <c r="G1" s="68"/>
      <c r="H1" s="68"/>
      <c r="I1" s="68"/>
      <c r="J1" s="68"/>
      <c r="K1" s="69"/>
      <c r="L1" s="69"/>
      <c r="M1" s="70"/>
      <c r="N1" s="68"/>
      <c r="O1" s="68"/>
      <c r="P1" s="68"/>
      <c r="Q1" s="68"/>
      <c r="R1" s="68"/>
      <c r="S1" s="68"/>
      <c r="T1" s="68"/>
      <c r="U1" s="68"/>
      <c r="V1" s="68"/>
      <c r="W1" s="68"/>
      <c r="X1" s="68"/>
      <c r="Y1" s="68"/>
      <c r="Z1" s="68"/>
    </row>
    <row r="2" spans="1:26" ht="20.25" customHeight="1" x14ac:dyDescent="0.25">
      <c r="A2" s="68"/>
      <c r="B2" s="68"/>
      <c r="C2" s="68"/>
      <c r="D2" s="68"/>
      <c r="E2" s="68"/>
      <c r="F2" s="71"/>
      <c r="G2" s="68"/>
      <c r="H2" s="72"/>
      <c r="I2" s="73"/>
      <c r="J2" s="73"/>
      <c r="K2" s="68"/>
      <c r="L2" s="68"/>
      <c r="M2" s="68"/>
      <c r="N2" s="74"/>
      <c r="O2" s="74"/>
      <c r="P2" s="68"/>
      <c r="Q2" s="68"/>
      <c r="R2" s="68"/>
      <c r="S2" s="68"/>
      <c r="T2" s="68"/>
      <c r="U2" s="68"/>
      <c r="V2" s="68"/>
      <c r="W2" s="68"/>
      <c r="X2" s="68"/>
      <c r="Y2" s="68"/>
      <c r="Z2" s="68"/>
    </row>
    <row r="3" spans="1:26" ht="19.5" customHeight="1" x14ac:dyDescent="0.25">
      <c r="A3" s="75"/>
      <c r="B3" s="75"/>
      <c r="C3" s="68"/>
      <c r="D3" s="68"/>
      <c r="E3" s="76"/>
      <c r="F3" s="71"/>
      <c r="G3" s="68"/>
      <c r="H3" s="68"/>
      <c r="I3" s="77">
        <v>2</v>
      </c>
      <c r="J3" s="68"/>
      <c r="K3" s="238"/>
      <c r="L3" s="239"/>
      <c r="M3" s="95">
        <v>8000</v>
      </c>
      <c r="N3" s="78"/>
      <c r="O3" s="78"/>
      <c r="P3" s="79"/>
      <c r="Q3" s="79"/>
      <c r="R3" s="68"/>
      <c r="S3" s="68"/>
      <c r="T3" s="68"/>
      <c r="U3" s="68"/>
      <c r="V3" s="68"/>
      <c r="W3" s="68"/>
      <c r="X3" s="68"/>
      <c r="Y3" s="68"/>
      <c r="Z3" s="68"/>
    </row>
    <row r="4" spans="1:26" ht="30" customHeight="1" x14ac:dyDescent="0.4">
      <c r="A4" s="80" t="s">
        <v>96</v>
      </c>
      <c r="B4" s="75"/>
      <c r="C4" s="68"/>
      <c r="D4" s="68"/>
      <c r="E4" s="70" t="s">
        <v>97</v>
      </c>
      <c r="F4" s="71"/>
      <c r="G4" s="96"/>
      <c r="H4" s="81"/>
      <c r="I4" s="82" t="s">
        <v>98</v>
      </c>
      <c r="J4" s="83"/>
      <c r="K4" s="240"/>
      <c r="L4" s="241"/>
      <c r="M4" s="95"/>
      <c r="N4" s="84"/>
      <c r="O4" s="84"/>
      <c r="P4" s="68"/>
      <c r="Q4" s="68"/>
      <c r="R4" s="68"/>
      <c r="S4" s="68"/>
      <c r="T4" s="68"/>
      <c r="U4" s="68"/>
      <c r="V4" s="68"/>
      <c r="W4" s="68"/>
      <c r="X4" s="68"/>
      <c r="Y4" s="68"/>
      <c r="Z4" s="68"/>
    </row>
    <row r="5" spans="1:26" ht="20.25" customHeight="1" x14ac:dyDescent="0.25">
      <c r="A5" s="242" t="s">
        <v>156</v>
      </c>
      <c r="B5" s="243"/>
      <c r="C5" s="68"/>
      <c r="D5" s="68"/>
      <c r="E5" s="72" t="s">
        <v>99</v>
      </c>
      <c r="F5" s="68"/>
      <c r="G5" s="244"/>
      <c r="H5" s="245"/>
      <c r="I5" s="245"/>
      <c r="J5" s="245"/>
      <c r="K5" s="245"/>
      <c r="L5" s="245"/>
      <c r="M5" s="245"/>
      <c r="N5" s="68"/>
      <c r="O5" s="68"/>
      <c r="P5" s="68"/>
      <c r="Q5" s="68"/>
      <c r="R5" s="68"/>
      <c r="S5" s="68"/>
      <c r="T5" s="68"/>
      <c r="U5" s="68"/>
      <c r="V5" s="68"/>
      <c r="W5" s="68"/>
      <c r="X5" s="68"/>
      <c r="Y5" s="68"/>
      <c r="Z5" s="68"/>
    </row>
    <row r="6" spans="1:26" ht="21" customHeight="1" x14ac:dyDescent="0.25">
      <c r="A6" s="243"/>
      <c r="B6" s="243"/>
      <c r="C6" s="68"/>
      <c r="D6" s="68"/>
      <c r="E6" s="72" t="str">
        <f>IF(Tarifs!$D$93=Tarifs!$B$97,"Nom de l'organisme", "Nom de l'artiste")</f>
        <v>Nom de l'artiste</v>
      </c>
      <c r="F6" s="68"/>
      <c r="G6" s="244"/>
      <c r="H6" s="245"/>
      <c r="I6" s="245"/>
      <c r="J6" s="245"/>
      <c r="K6" s="245"/>
      <c r="L6" s="245"/>
      <c r="M6" s="245"/>
      <c r="N6" s="68"/>
      <c r="O6" s="68"/>
      <c r="P6" s="68"/>
      <c r="Q6" s="68"/>
      <c r="R6" s="79"/>
      <c r="S6" s="79"/>
      <c r="T6" s="68"/>
      <c r="U6" s="68"/>
      <c r="V6" s="68"/>
      <c r="W6" s="68"/>
      <c r="X6" s="68"/>
      <c r="Y6" s="68"/>
      <c r="Z6" s="68"/>
    </row>
    <row r="7" spans="1:26" ht="6.75" customHeight="1" x14ac:dyDescent="0.25">
      <c r="A7" s="243"/>
      <c r="B7" s="243"/>
      <c r="C7" s="68"/>
      <c r="D7" s="68"/>
      <c r="E7" s="68"/>
      <c r="F7" s="68"/>
      <c r="G7" s="70"/>
      <c r="H7" s="70"/>
      <c r="I7" s="85"/>
      <c r="J7" s="85"/>
      <c r="K7" s="85"/>
      <c r="L7" s="85"/>
      <c r="M7" s="85"/>
      <c r="N7" s="68"/>
      <c r="O7" s="68"/>
      <c r="P7" s="68"/>
      <c r="Q7" s="68"/>
      <c r="R7" s="68"/>
      <c r="S7" s="68"/>
      <c r="T7" s="68"/>
      <c r="U7" s="68"/>
      <c r="V7" s="68"/>
      <c r="W7" s="68"/>
      <c r="X7" s="68"/>
      <c r="Y7" s="68"/>
      <c r="Z7" s="68"/>
    </row>
    <row r="8" spans="1:26" ht="23.25" customHeight="1" x14ac:dyDescent="0.25">
      <c r="A8" s="243"/>
      <c r="B8" s="243"/>
      <c r="C8" s="68"/>
      <c r="D8" s="68"/>
      <c r="E8" s="68"/>
      <c r="F8" s="68"/>
      <c r="G8" s="70"/>
      <c r="H8" s="70"/>
      <c r="I8" s="85"/>
      <c r="J8" s="85"/>
      <c r="K8" s="85"/>
      <c r="L8" s="85"/>
      <c r="M8" s="85"/>
      <c r="N8" s="68"/>
      <c r="O8" s="68"/>
      <c r="P8" s="68"/>
      <c r="Q8" s="68"/>
      <c r="R8" s="68"/>
      <c r="S8" s="68"/>
      <c r="T8" s="68"/>
      <c r="U8" s="68"/>
      <c r="V8" s="68"/>
      <c r="W8" s="68"/>
      <c r="X8" s="68"/>
      <c r="Y8" s="68"/>
      <c r="Z8" s="68"/>
    </row>
    <row r="9" spans="1:26" ht="14.25" customHeight="1" x14ac:dyDescent="0.25">
      <c r="A9" s="246" t="s">
        <v>100</v>
      </c>
      <c r="B9" s="247" t="s">
        <v>101</v>
      </c>
      <c r="C9" s="248" t="s">
        <v>102</v>
      </c>
      <c r="D9" s="249"/>
      <c r="E9" s="239"/>
      <c r="F9" s="99"/>
      <c r="G9" s="250" t="s">
        <v>103</v>
      </c>
      <c r="H9" s="99"/>
      <c r="I9" s="236" t="s">
        <v>104</v>
      </c>
      <c r="J9" s="100"/>
      <c r="K9" s="236" t="s">
        <v>105</v>
      </c>
      <c r="L9" s="101"/>
      <c r="M9" s="236" t="str">
        <f>IF(Tarifs!$D$93=Tarifs!$B$97,"Payé par l'organisme", "Payé par l'artiste")</f>
        <v>Payé par l'artiste</v>
      </c>
      <c r="N9" s="68"/>
      <c r="O9" s="68"/>
      <c r="P9" s="68"/>
      <c r="Q9" s="68"/>
      <c r="R9" s="68"/>
      <c r="S9" s="68"/>
      <c r="T9" s="68"/>
      <c r="U9" s="68"/>
      <c r="V9" s="68"/>
      <c r="W9" s="68"/>
      <c r="X9" s="68"/>
      <c r="Y9" s="68"/>
      <c r="Z9" s="68"/>
    </row>
    <row r="10" spans="1:26" ht="17.25" customHeight="1" x14ac:dyDescent="0.25">
      <c r="A10" s="237"/>
      <c r="B10" s="237"/>
      <c r="C10" s="248" t="s">
        <v>106</v>
      </c>
      <c r="D10" s="239"/>
      <c r="E10" s="99" t="s">
        <v>107</v>
      </c>
      <c r="F10" s="99"/>
      <c r="G10" s="237"/>
      <c r="H10" s="99"/>
      <c r="I10" s="237"/>
      <c r="J10" s="100"/>
      <c r="K10" s="237"/>
      <c r="L10" s="100"/>
      <c r="M10" s="237"/>
      <c r="N10" s="68"/>
      <c r="O10" s="68"/>
      <c r="P10" s="68"/>
      <c r="Q10" s="68"/>
      <c r="R10" s="68"/>
      <c r="S10" s="68"/>
      <c r="T10" s="68"/>
      <c r="U10" s="68"/>
      <c r="V10" s="68"/>
      <c r="W10" s="68"/>
      <c r="X10" s="68"/>
      <c r="Y10" s="68"/>
      <c r="Z10" s="68"/>
    </row>
    <row r="11" spans="1:26" ht="14.25" customHeight="1" x14ac:dyDescent="0.25">
      <c r="A11" s="211"/>
      <c r="B11" s="211"/>
      <c r="C11" s="252"/>
      <c r="D11" s="253"/>
      <c r="E11" s="184"/>
      <c r="F11" s="102" t="s">
        <v>108</v>
      </c>
      <c r="G11" s="103">
        <f>IF(OR(A11="",E11=""),0,(VLOOKUP(A11,Tarifs!A$42:J$82,IF(E11="Journée",2,IF(E11="Fin de Semaine",3,IF(E11="Semaine",4,IF(E11="Mois",5,"")))),FALSE)))</f>
        <v>0</v>
      </c>
      <c r="H11" s="103" t="s">
        <v>109</v>
      </c>
      <c r="I11" s="103">
        <f t="shared" ref="I11:I18" si="0">C11*G11</f>
        <v>0</v>
      </c>
      <c r="J11" s="104" t="s">
        <v>110</v>
      </c>
      <c r="K11" s="103">
        <f>IF(Tarifs!D$93=8,IF(M$3=0,I11,IF(I11&gt;M$3,M$3,I11)),I11-M11)</f>
        <v>0</v>
      </c>
      <c r="L11" s="103" t="s">
        <v>109</v>
      </c>
      <c r="M11" s="105">
        <f>IF(Tarifs!D$93=8,I11-K11,IF(OR(A11="",E11=""),0,C11*(VLOOKUP(A11,Tarifs!A$42:J$82,IF(E11="Journée",6,IF(E11="Fin de Semaine",7,IF(E11="Semaine",8,IF(E11="Mois",9,"")))),FALSE))))</f>
        <v>0</v>
      </c>
      <c r="N11" s="86"/>
      <c r="O11" s="86"/>
      <c r="P11" s="86"/>
      <c r="Q11" s="86"/>
      <c r="R11" s="86"/>
      <c r="S11" s="86"/>
      <c r="T11" s="86"/>
      <c r="U11" s="86"/>
      <c r="V11" s="86"/>
      <c r="W11" s="86"/>
      <c r="X11" s="86"/>
      <c r="Y11" s="86"/>
      <c r="Z11" s="86"/>
    </row>
    <row r="12" spans="1:26" ht="14.25" customHeight="1" x14ac:dyDescent="0.25">
      <c r="A12" s="212"/>
      <c r="B12" s="212"/>
      <c r="C12" s="254"/>
      <c r="D12" s="253"/>
      <c r="E12" s="185"/>
      <c r="F12" s="106" t="s">
        <v>108</v>
      </c>
      <c r="G12" s="107">
        <f>IF(OR(A12="",E12=""),0,(VLOOKUP(A12,Tarifs!A$42:J$82,IF(E12="Journée",2,IF(E12="Fin de Semaine",3,IF(E12="Semaine",4,IF(E12="Mois",5,"")))),FALSE)))</f>
        <v>0</v>
      </c>
      <c r="H12" s="107" t="s">
        <v>109</v>
      </c>
      <c r="I12" s="107">
        <f t="shared" si="0"/>
        <v>0</v>
      </c>
      <c r="J12" s="108" t="s">
        <v>110</v>
      </c>
      <c r="K12" s="107">
        <f>IF(Tarifs!D$93=8,IF(M$3=0,I12,IF(I12+(SUM(K$11:K11))&gt;M$3,M$3-SUM(K$11:K11),I12)),I12-M12)</f>
        <v>0</v>
      </c>
      <c r="L12" s="107" t="s">
        <v>109</v>
      </c>
      <c r="M12" s="109">
        <f>IF(Tarifs!D$93=8,I12-K12,IF(OR(A12="",E12=""),0,C12*(VLOOKUP(A12,Tarifs!A$42:J$82,IF(E12="Journée",6,IF(E12="Fin de Semaine",7,IF(E12="Semaine",8,IF(E12="Mois",9,"")))),FALSE))))</f>
        <v>0</v>
      </c>
      <c r="N12" s="68"/>
      <c r="O12" s="68"/>
      <c r="P12" s="68"/>
      <c r="Q12" s="68"/>
      <c r="R12" s="68"/>
      <c r="S12" s="68"/>
      <c r="T12" s="68"/>
      <c r="U12" s="68"/>
      <c r="V12" s="68"/>
      <c r="W12" s="68"/>
      <c r="X12" s="68"/>
      <c r="Y12" s="68"/>
      <c r="Z12" s="68"/>
    </row>
    <row r="13" spans="1:26" ht="14.25" customHeight="1" x14ac:dyDescent="0.25">
      <c r="A13" s="211"/>
      <c r="B13" s="211"/>
      <c r="C13" s="252"/>
      <c r="D13" s="253"/>
      <c r="E13" s="184"/>
      <c r="F13" s="102" t="s">
        <v>108</v>
      </c>
      <c r="G13" s="103">
        <f>IF(OR(A13="",E13=""),0,(VLOOKUP(A13,Tarifs!A$42:J$82,IF(E13="Journée",2,IF(E13="Fin de Semaine",3,IF(E13="Semaine",4,IF(E13="Mois",5,"")))),FALSE)))</f>
        <v>0</v>
      </c>
      <c r="H13" s="103" t="s">
        <v>109</v>
      </c>
      <c r="I13" s="103">
        <f t="shared" si="0"/>
        <v>0</v>
      </c>
      <c r="J13" s="104" t="s">
        <v>110</v>
      </c>
      <c r="K13" s="103">
        <f>IF(Tarifs!D$93=8,IF(M$3=0,I13,IF(I13+(SUM(K$11:K12))&gt;M$3,M$3-SUM(K$11:K12),I13)),I13-M13)</f>
        <v>0</v>
      </c>
      <c r="L13" s="103" t="s">
        <v>109</v>
      </c>
      <c r="M13" s="105">
        <f>IF(Tarifs!D$93=8,I13-K13,IF(OR(A13="",E13=""),0,C13*(VLOOKUP(A13,Tarifs!A$42:J$82,IF(E13="Journée",6,IF(E13="Fin de Semaine",7,IF(E13="Semaine",8,IF(E13="Mois",9,"")))),FALSE))))</f>
        <v>0</v>
      </c>
      <c r="N13" s="68"/>
      <c r="O13" s="68"/>
      <c r="P13" s="68"/>
      <c r="Q13" s="68"/>
      <c r="R13" s="68"/>
      <c r="S13" s="68"/>
      <c r="T13" s="68"/>
      <c r="U13" s="68"/>
      <c r="V13" s="68"/>
      <c r="W13" s="68"/>
      <c r="X13" s="68"/>
      <c r="Y13" s="68"/>
      <c r="Z13" s="68"/>
    </row>
    <row r="14" spans="1:26" ht="14.25" customHeight="1" x14ac:dyDescent="0.25">
      <c r="A14" s="212"/>
      <c r="B14" s="212"/>
      <c r="C14" s="254"/>
      <c r="D14" s="253"/>
      <c r="E14" s="185"/>
      <c r="F14" s="106" t="s">
        <v>108</v>
      </c>
      <c r="G14" s="107">
        <f>IF(OR(A14="",E14=""),0,(VLOOKUP(A14,Tarifs!A$42:J$82,IF(E14="Journée",2,IF(E14="Fin de Semaine",3,IF(E14="Semaine",4,IF(E14="Mois",5,"")))),FALSE)))</f>
        <v>0</v>
      </c>
      <c r="H14" s="107" t="s">
        <v>109</v>
      </c>
      <c r="I14" s="107">
        <f t="shared" si="0"/>
        <v>0</v>
      </c>
      <c r="J14" s="108" t="s">
        <v>110</v>
      </c>
      <c r="K14" s="107">
        <f>IF(Tarifs!D$93=8,IF(M$3=0,I14,IF(I14+(SUM(K$11:K13))&gt;M$3,M$3-SUM(K$11:K13),I14)),I14-M14)</f>
        <v>0</v>
      </c>
      <c r="L14" s="107" t="s">
        <v>109</v>
      </c>
      <c r="M14" s="109">
        <f>IF(Tarifs!D$93=8,I14-K14,IF(OR(A14="",E14=""),0,C14*(VLOOKUP(A14,Tarifs!A$42:J$82,IF(E14="Journée",6,IF(E14="Fin de Semaine",7,IF(E14="Semaine",8,IF(E14="Mois",9,"")))),FALSE))))</f>
        <v>0</v>
      </c>
      <c r="N14" s="68"/>
      <c r="O14" s="68"/>
      <c r="P14" s="68"/>
      <c r="Q14" s="68"/>
      <c r="R14" s="68"/>
      <c r="S14" s="68"/>
      <c r="T14" s="68"/>
      <c r="U14" s="68"/>
      <c r="V14" s="68"/>
      <c r="W14" s="68"/>
      <c r="X14" s="68"/>
      <c r="Y14" s="68"/>
      <c r="Z14" s="68"/>
    </row>
    <row r="15" spans="1:26" ht="14.25" customHeight="1" x14ac:dyDescent="0.25">
      <c r="A15" s="211"/>
      <c r="B15" s="211"/>
      <c r="C15" s="252"/>
      <c r="D15" s="253"/>
      <c r="E15" s="184"/>
      <c r="F15" s="102" t="s">
        <v>108</v>
      </c>
      <c r="G15" s="103">
        <f>IF(OR(A15="",E15=""),0,(VLOOKUP(A15,Tarifs!A$42:J$82,IF(E15="Journée",2,IF(E15="Fin de Semaine",3,IF(E15="Semaine",4,IF(E15="Mois",5,"")))),FALSE)))</f>
        <v>0</v>
      </c>
      <c r="H15" s="103" t="s">
        <v>109</v>
      </c>
      <c r="I15" s="103">
        <f t="shared" si="0"/>
        <v>0</v>
      </c>
      <c r="J15" s="104" t="s">
        <v>110</v>
      </c>
      <c r="K15" s="103">
        <f>IF(Tarifs!D$93=8,IF(M$3=0,I15,IF(I15+(SUM(K$11:K14))&gt;M$3,M$3-SUM(K$11:K14),I15)),I15-M15)</f>
        <v>0</v>
      </c>
      <c r="L15" s="103" t="s">
        <v>109</v>
      </c>
      <c r="M15" s="105">
        <f>IF(Tarifs!D$93=8,I15-K15,IF(OR(A15="",E15=""),0,C15*(VLOOKUP(A15,Tarifs!A$42:J$82,IF(E15="Journée",6,IF(E15="Fin de Semaine",7,IF(E15="Semaine",8,IF(E15="Mois",9,"")))),FALSE))))</f>
        <v>0</v>
      </c>
      <c r="N15" s="68"/>
      <c r="O15" s="68"/>
      <c r="P15" s="68"/>
      <c r="Q15" s="68"/>
      <c r="R15" s="68"/>
      <c r="S15" s="68"/>
      <c r="T15" s="68"/>
      <c r="U15" s="68"/>
      <c r="V15" s="68"/>
      <c r="W15" s="68"/>
      <c r="X15" s="68"/>
      <c r="Y15" s="68"/>
      <c r="Z15" s="68"/>
    </row>
    <row r="16" spans="1:26" ht="14.25" customHeight="1" x14ac:dyDescent="0.25">
      <c r="A16" s="212"/>
      <c r="B16" s="212"/>
      <c r="C16" s="254"/>
      <c r="D16" s="253"/>
      <c r="E16" s="185"/>
      <c r="F16" s="106" t="s">
        <v>108</v>
      </c>
      <c r="G16" s="107">
        <f>IF(OR(A16="",E16=""),0,(VLOOKUP(A16,Tarifs!A$42:J$82,IF(E16="Journée",2,IF(E16="Fin de Semaine",3,IF(E16="Semaine",4,IF(E16="Mois",5,"")))),FALSE)))</f>
        <v>0</v>
      </c>
      <c r="H16" s="107" t="s">
        <v>109</v>
      </c>
      <c r="I16" s="107">
        <f t="shared" si="0"/>
        <v>0</v>
      </c>
      <c r="J16" s="108" t="s">
        <v>110</v>
      </c>
      <c r="K16" s="107">
        <f>IF(Tarifs!D$93=8,IF(M$3=0,I16,IF(I16+(SUM(K$11:K15))&gt;M$3,M$3-SUM(K$11:K15),I16)),I16-M16)</f>
        <v>0</v>
      </c>
      <c r="L16" s="107" t="s">
        <v>109</v>
      </c>
      <c r="M16" s="109">
        <f>IF(Tarifs!D$93=8,I16-K16,IF(OR(A16="",E16=""),0,C16*(VLOOKUP(A16,Tarifs!A$42:J$82,IF(E16="Journée",6,IF(E16="Fin de Semaine",7,IF(E16="Semaine",8,IF(E16="Mois",9,"")))),FALSE))))</f>
        <v>0</v>
      </c>
      <c r="N16" s="68"/>
      <c r="O16" s="68"/>
      <c r="P16" s="68"/>
      <c r="Q16" s="68"/>
      <c r="R16" s="68"/>
      <c r="S16" s="68"/>
      <c r="T16" s="68"/>
      <c r="U16" s="68"/>
      <c r="V16" s="68"/>
      <c r="W16" s="68"/>
      <c r="X16" s="68"/>
      <c r="Y16" s="68"/>
      <c r="Z16" s="68"/>
    </row>
    <row r="17" spans="1:26" ht="14.25" customHeight="1" x14ac:dyDescent="0.25">
      <c r="A17" s="211"/>
      <c r="B17" s="211"/>
      <c r="C17" s="252"/>
      <c r="D17" s="253"/>
      <c r="E17" s="184"/>
      <c r="F17" s="102" t="s">
        <v>108</v>
      </c>
      <c r="G17" s="103">
        <f>IF(OR(A17="",E17=""),0,(VLOOKUP(A17,Tarifs!A$42:J$82,IF(E17="Journée",2,IF(E17="Fin de Semaine",3,IF(E17="Semaine",4,IF(E17="Mois",5,"")))),FALSE)))</f>
        <v>0</v>
      </c>
      <c r="H17" s="103" t="s">
        <v>109</v>
      </c>
      <c r="I17" s="103">
        <f t="shared" si="0"/>
        <v>0</v>
      </c>
      <c r="J17" s="104" t="s">
        <v>110</v>
      </c>
      <c r="K17" s="103">
        <f>IF(Tarifs!D$93=8,IF(M$3=0,I17,IF(I17+(SUM(K$11:K16))&gt;M$3,M$3-SUM(K$11:K16),I17)),I17-M17)</f>
        <v>0</v>
      </c>
      <c r="L17" s="103" t="s">
        <v>109</v>
      </c>
      <c r="M17" s="105">
        <f>IF(Tarifs!D$93=8,I17-K17,IF(OR(A17="",E17=""),0,C17*(VLOOKUP(A17,Tarifs!A$42:J$82,IF(E17="Journée",6,IF(E17="Fin de Semaine",7,IF(E17="Semaine",8,IF(E17="Mois",9,"")))),FALSE))))</f>
        <v>0</v>
      </c>
      <c r="N17" s="68"/>
      <c r="O17" s="68"/>
      <c r="P17" s="68"/>
      <c r="Q17" s="68"/>
      <c r="R17" s="68"/>
      <c r="S17" s="68"/>
      <c r="T17" s="68"/>
      <c r="U17" s="68"/>
      <c r="V17" s="68"/>
      <c r="W17" s="68"/>
      <c r="X17" s="68"/>
      <c r="Y17" s="68"/>
      <c r="Z17" s="68"/>
    </row>
    <row r="18" spans="1:26" ht="14.25" customHeight="1" thickBot="1" x14ac:dyDescent="0.3">
      <c r="A18" s="213"/>
      <c r="B18" s="213"/>
      <c r="C18" s="255"/>
      <c r="D18" s="256"/>
      <c r="E18" s="186"/>
      <c r="F18" s="110" t="s">
        <v>108</v>
      </c>
      <c r="G18" s="111">
        <f>IF(OR(A18="",E18=""),0,(VLOOKUP(A18,Tarifs!A$42:J$82,IF(E18="Journée",2,IF(E18="Fin de Semaine",3,IF(E18="Semaine",4,IF(E18="Mois",5,"")))),FALSE)))</f>
        <v>0</v>
      </c>
      <c r="H18" s="111" t="s">
        <v>109</v>
      </c>
      <c r="I18" s="111">
        <f t="shared" si="0"/>
        <v>0</v>
      </c>
      <c r="J18" s="112" t="s">
        <v>110</v>
      </c>
      <c r="K18" s="111">
        <f>IF(Tarifs!D$93=8,IF(M$3=0,I18,IF(I18+(SUM(K$11:K17))&gt;M$3,M$3-SUM(K$11:K17),I18)),I18-M18)</f>
        <v>0</v>
      </c>
      <c r="L18" s="111" t="s">
        <v>109</v>
      </c>
      <c r="M18" s="113">
        <f>IF(Tarifs!D$93=8,I18-K18,IF(OR(A18="",E18=""),0,C18*(VLOOKUP(A18,Tarifs!A$42:J$82,IF(E18="Journée",6,IF(E18="Fin de Semaine",7,IF(E18="Semaine",8,IF(E18="Mois",9,"")))),FALSE))))</f>
        <v>0</v>
      </c>
      <c r="N18" s="68"/>
      <c r="O18" s="68"/>
      <c r="P18" s="68"/>
      <c r="Q18" s="68"/>
      <c r="R18" s="68"/>
      <c r="S18" s="68"/>
      <c r="T18" s="68"/>
      <c r="U18" s="68"/>
      <c r="V18" s="68"/>
      <c r="W18" s="68"/>
      <c r="X18" s="68"/>
      <c r="Y18" s="68"/>
      <c r="Z18" s="68"/>
    </row>
    <row r="19" spans="1:26" ht="16.5" customHeight="1" thickTop="1" x14ac:dyDescent="0.3">
      <c r="A19" s="257" t="s">
        <v>111</v>
      </c>
      <c r="B19" s="249"/>
      <c r="C19" s="249"/>
      <c r="D19" s="249"/>
      <c r="E19" s="249"/>
      <c r="F19" s="249"/>
      <c r="G19" s="249"/>
      <c r="H19" s="239"/>
      <c r="I19" s="114">
        <f>SUM(I11:I18)</f>
        <v>0</v>
      </c>
      <c r="J19" s="114" t="s">
        <v>110</v>
      </c>
      <c r="K19" s="114">
        <f>SUM(K11:K18)</f>
        <v>0</v>
      </c>
      <c r="L19" s="115" t="s">
        <v>109</v>
      </c>
      <c r="M19" s="116">
        <f>SUM(M11:M18)</f>
        <v>0</v>
      </c>
      <c r="N19" s="68"/>
      <c r="O19" s="68"/>
      <c r="P19" s="68"/>
      <c r="Q19" s="68"/>
      <c r="R19" s="68"/>
      <c r="S19" s="68"/>
      <c r="T19" s="68"/>
      <c r="U19" s="68"/>
      <c r="V19" s="68"/>
      <c r="W19" s="68"/>
      <c r="X19" s="68"/>
      <c r="Y19" s="68"/>
      <c r="Z19" s="68"/>
    </row>
    <row r="20" spans="1:26" ht="14.25" customHeight="1" x14ac:dyDescent="0.25">
      <c r="A20" s="117"/>
      <c r="B20" s="117"/>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x14ac:dyDescent="0.25">
      <c r="A21" s="118" t="s">
        <v>112</v>
      </c>
      <c r="B21" s="258" t="s">
        <v>101</v>
      </c>
      <c r="C21" s="259" t="s">
        <v>113</v>
      </c>
      <c r="D21" s="260"/>
      <c r="E21" s="251" t="s">
        <v>114</v>
      </c>
      <c r="F21" s="119"/>
      <c r="G21" s="251" t="s">
        <v>115</v>
      </c>
      <c r="H21" s="119"/>
      <c r="I21" s="251" t="s">
        <v>104</v>
      </c>
      <c r="J21" s="120"/>
      <c r="K21" s="251" t="s">
        <v>105</v>
      </c>
      <c r="L21" s="121"/>
      <c r="M21" s="251" t="str">
        <f>IF(Tarifs!$D$93=Tarifs!$B$97,"Payé par l'organisme", "Payé par l'artiste")</f>
        <v>Payé par l'artiste</v>
      </c>
      <c r="N21" s="68"/>
      <c r="O21" s="68"/>
      <c r="P21" s="68"/>
      <c r="Q21" s="68"/>
      <c r="R21" s="68"/>
      <c r="S21" s="68"/>
      <c r="T21" s="68"/>
      <c r="U21" s="68"/>
      <c r="V21" s="68"/>
      <c r="W21" s="68"/>
      <c r="X21" s="68"/>
      <c r="Y21" s="68"/>
      <c r="Z21" s="68"/>
    </row>
    <row r="22" spans="1:26" ht="14.25" customHeight="1" x14ac:dyDescent="0.25">
      <c r="A22" s="122" t="s">
        <v>116</v>
      </c>
      <c r="B22" s="237"/>
      <c r="C22" s="261"/>
      <c r="D22" s="262"/>
      <c r="E22" s="237"/>
      <c r="F22" s="119"/>
      <c r="G22" s="237"/>
      <c r="H22" s="119"/>
      <c r="I22" s="237"/>
      <c r="J22" s="120"/>
      <c r="K22" s="237"/>
      <c r="L22" s="120"/>
      <c r="M22" s="237"/>
      <c r="N22" s="68"/>
      <c r="O22" s="68"/>
      <c r="P22" s="68"/>
      <c r="Q22" s="68"/>
      <c r="R22" s="68"/>
      <c r="S22" s="68"/>
      <c r="T22" s="68"/>
      <c r="U22" s="68"/>
      <c r="V22" s="68"/>
      <c r="W22" s="68"/>
      <c r="X22" s="68"/>
      <c r="Y22" s="68"/>
      <c r="Z22" s="68"/>
    </row>
    <row r="23" spans="1:26" ht="14.25" customHeight="1" x14ac:dyDescent="0.25">
      <c r="A23" s="214"/>
      <c r="B23" s="224"/>
      <c r="C23" s="263" t="b">
        <v>0</v>
      </c>
      <c r="D23" s="253"/>
      <c r="E23" s="187"/>
      <c r="F23" s="102" t="s">
        <v>108</v>
      </c>
      <c r="G23" s="103">
        <f>IF(A23="",0,IF(C23=TRUE,VLOOKUP(A23,Tarifs!A$3:E$21,3,FALSE),VLOOKUP(A23,Tarifs!A$3:E$21,2,FALSE)))</f>
        <v>0</v>
      </c>
      <c r="H23" s="103" t="s">
        <v>109</v>
      </c>
      <c r="I23" s="103">
        <f t="shared" ref="I23:I27" si="1">E23*G23</f>
        <v>0</v>
      </c>
      <c r="J23" s="104" t="s">
        <v>110</v>
      </c>
      <c r="K23" s="103">
        <f>IF(Tarifs!D$93=8,IF(M$3=0,I23,IF(I23+(SUM(K$19:K22))&gt;M$3,M$3-SUM(K$19:K22),I23)),I23-M23)</f>
        <v>0</v>
      </c>
      <c r="L23" s="103" t="s">
        <v>109</v>
      </c>
      <c r="M23" s="105">
        <f>IF(Tarifs!D$93=8,I23-K23,IF(A23="",0,IF(C23=TRUE,E23*VLOOKUP(A23,Tarifs!A$3:E$21,5,FALSE),E23*VLOOKUP(A23,Tarifs!A$3:E$21,4,FALSE))))</f>
        <v>0</v>
      </c>
      <c r="N23" s="68"/>
      <c r="O23" s="68"/>
      <c r="P23" s="68"/>
      <c r="Q23" s="68"/>
      <c r="R23" s="68"/>
      <c r="S23" s="68"/>
      <c r="T23" s="68"/>
      <c r="U23" s="68"/>
      <c r="V23" s="68"/>
      <c r="W23" s="68"/>
      <c r="X23" s="68"/>
      <c r="Y23" s="68"/>
      <c r="Z23" s="68"/>
    </row>
    <row r="24" spans="1:26" ht="14.25" customHeight="1" x14ac:dyDescent="0.25">
      <c r="A24" s="215"/>
      <c r="B24" s="225"/>
      <c r="C24" s="264" t="b">
        <v>0</v>
      </c>
      <c r="D24" s="253"/>
      <c r="E24" s="188"/>
      <c r="F24" s="106" t="s">
        <v>108</v>
      </c>
      <c r="G24" s="107">
        <f>IF(A24="",0,IF(C24=TRUE,VLOOKUP(A24,Tarifs!A$3:E$21,3,FALSE),VLOOKUP(A24,Tarifs!A$3:E$21,2,FALSE)))</f>
        <v>0</v>
      </c>
      <c r="H24" s="107" t="s">
        <v>109</v>
      </c>
      <c r="I24" s="107">
        <f t="shared" si="1"/>
        <v>0</v>
      </c>
      <c r="J24" s="108" t="s">
        <v>110</v>
      </c>
      <c r="K24" s="107">
        <f>IF(Tarifs!D$93=8,IF(M$3=0,I24,IF(I24+(SUM(K$19:K23))&gt;M$3,M$3-SUM(K$19:K23),I24)),I24-M24)</f>
        <v>0</v>
      </c>
      <c r="L24" s="107" t="s">
        <v>109</v>
      </c>
      <c r="M24" s="109">
        <f>IF(Tarifs!D$93=8,I24-K24,IF(A24="",0,IF(C24=TRUE,E24*VLOOKUP(A24,Tarifs!A$3:E$21,5,FALSE),E24*VLOOKUP(A24,Tarifs!A$3:E$21,4,FALSE))))</f>
        <v>0</v>
      </c>
      <c r="N24" s="68"/>
      <c r="O24" s="68"/>
      <c r="P24" s="68"/>
      <c r="Q24" s="68"/>
      <c r="R24" s="68"/>
      <c r="S24" s="68"/>
      <c r="T24" s="68"/>
      <c r="U24" s="68"/>
      <c r="V24" s="68"/>
      <c r="W24" s="68"/>
      <c r="X24" s="68"/>
      <c r="Y24" s="68"/>
      <c r="Z24" s="68"/>
    </row>
    <row r="25" spans="1:26" ht="14.25" customHeight="1" x14ac:dyDescent="0.25">
      <c r="A25" s="216"/>
      <c r="B25" s="224"/>
      <c r="C25" s="263" t="b">
        <v>0</v>
      </c>
      <c r="D25" s="253"/>
      <c r="E25" s="187"/>
      <c r="F25" s="102" t="s">
        <v>108</v>
      </c>
      <c r="G25" s="103">
        <f>IF(A25="",0,IF(C25=TRUE,VLOOKUP(A25,Tarifs!A$3:E$21,3,FALSE),VLOOKUP(A25,Tarifs!A$3:E$21,2,FALSE)))</f>
        <v>0</v>
      </c>
      <c r="H25" s="103" t="s">
        <v>109</v>
      </c>
      <c r="I25" s="103">
        <f t="shared" si="1"/>
        <v>0</v>
      </c>
      <c r="J25" s="104" t="s">
        <v>110</v>
      </c>
      <c r="K25" s="103">
        <f>IF(Tarifs!D$93=8,IF(M$3=0,I25,IF(I25+(SUM(K$19:K24))&gt;M$3,M$3-SUM(K$19:K24),I25)),I25-M25)</f>
        <v>0</v>
      </c>
      <c r="L25" s="103" t="s">
        <v>109</v>
      </c>
      <c r="M25" s="105">
        <f>IF(Tarifs!D$93=8,I25-K25,IF(A25="",0,IF(C25=TRUE,E25*VLOOKUP(A25,Tarifs!A$3:E$21,5,FALSE),E25*VLOOKUP(A25,Tarifs!A$3:E$21,4,FALSE))))</f>
        <v>0</v>
      </c>
      <c r="N25" s="68"/>
      <c r="O25" s="68"/>
      <c r="P25" s="68"/>
      <c r="Q25" s="68"/>
      <c r="R25" s="68"/>
      <c r="S25" s="68"/>
      <c r="T25" s="68"/>
      <c r="U25" s="68"/>
      <c r="V25" s="68"/>
      <c r="W25" s="68"/>
      <c r="X25" s="68"/>
      <c r="Y25" s="68"/>
      <c r="Z25" s="68"/>
    </row>
    <row r="26" spans="1:26" ht="14.25" customHeight="1" x14ac:dyDescent="0.25">
      <c r="A26" s="215"/>
      <c r="B26" s="225"/>
      <c r="C26" s="264" t="b">
        <v>0</v>
      </c>
      <c r="D26" s="253"/>
      <c r="E26" s="188"/>
      <c r="F26" s="106" t="s">
        <v>108</v>
      </c>
      <c r="G26" s="107">
        <f>IF(A26="",0,IF(C26=TRUE,VLOOKUP(A26,Tarifs!A$3:E$21,3,FALSE),VLOOKUP(A26,Tarifs!A$3:E$21,2,FALSE)))</f>
        <v>0</v>
      </c>
      <c r="H26" s="107" t="s">
        <v>109</v>
      </c>
      <c r="I26" s="107">
        <f t="shared" si="1"/>
        <v>0</v>
      </c>
      <c r="J26" s="108" t="s">
        <v>110</v>
      </c>
      <c r="K26" s="107">
        <f>IF(Tarifs!D$93=8,IF(M$3=0,I26,IF(I26+(SUM(K$19:K25))&gt;M$3,M$3-SUM(K$19:K25),I26)),I26-M26)</f>
        <v>0</v>
      </c>
      <c r="L26" s="107" t="s">
        <v>109</v>
      </c>
      <c r="M26" s="109">
        <f>IF(Tarifs!D$93=8,I26-K26,IF(A26="",0,IF(C26=TRUE,E26*VLOOKUP(A26,Tarifs!A$3:E$21,5,FALSE),E26*VLOOKUP(A26,Tarifs!A$3:E$21,4,FALSE))))</f>
        <v>0</v>
      </c>
      <c r="N26" s="68"/>
      <c r="O26" s="68"/>
      <c r="P26" s="68"/>
      <c r="Q26" s="68"/>
      <c r="R26" s="68"/>
      <c r="S26" s="68"/>
      <c r="T26" s="68"/>
      <c r="U26" s="68"/>
      <c r="V26" s="68"/>
      <c r="W26" s="68"/>
      <c r="X26" s="68"/>
      <c r="Y26" s="68"/>
      <c r="Z26" s="68"/>
    </row>
    <row r="27" spans="1:26" ht="14.25" customHeight="1" x14ac:dyDescent="0.25">
      <c r="A27" s="216"/>
      <c r="B27" s="224"/>
      <c r="C27" s="263" t="b">
        <v>0</v>
      </c>
      <c r="D27" s="253"/>
      <c r="E27" s="187"/>
      <c r="F27" s="102" t="s">
        <v>108</v>
      </c>
      <c r="G27" s="103">
        <f>IF(A27="",0,IF(C27=TRUE,VLOOKUP(A27,Tarifs!A$3:E$21,3,FALSE),VLOOKUP(A27,Tarifs!A$3:E$21,2,FALSE)))</f>
        <v>0</v>
      </c>
      <c r="H27" s="103" t="s">
        <v>109</v>
      </c>
      <c r="I27" s="103">
        <f t="shared" si="1"/>
        <v>0</v>
      </c>
      <c r="J27" s="104" t="s">
        <v>110</v>
      </c>
      <c r="K27" s="103">
        <f>IF(Tarifs!D$93=8,IF(M$3=0,I27,IF(I27+(SUM(K$19:K26))&gt;M$3,M$3-SUM(K$19:K26),I27)),I27-M27)</f>
        <v>0</v>
      </c>
      <c r="L27" s="103" t="s">
        <v>109</v>
      </c>
      <c r="M27" s="105">
        <f>IF(Tarifs!D$93=8,I27-K27,IF(A27="",0,IF(C27=TRUE,E27*VLOOKUP(A27,Tarifs!A$3:E$21,5,FALSE),E27*VLOOKUP(A27,Tarifs!A$3:E$21,4,FALSE))))</f>
        <v>0</v>
      </c>
      <c r="N27" s="68"/>
      <c r="O27" s="68"/>
      <c r="P27" s="68"/>
      <c r="Q27" s="68"/>
      <c r="R27" s="68"/>
      <c r="S27" s="68"/>
      <c r="T27" s="68"/>
      <c r="U27" s="68"/>
      <c r="V27" s="68"/>
      <c r="W27" s="68"/>
      <c r="X27" s="68"/>
      <c r="Y27" s="68"/>
      <c r="Z27" s="68"/>
    </row>
    <row r="28" spans="1:26" ht="14.25" customHeight="1" x14ac:dyDescent="0.25">
      <c r="A28" s="123" t="str">
        <f>Tarifs!A10</f>
        <v>Frais de gestion des données</v>
      </c>
      <c r="B28" s="124" t="s">
        <v>142</v>
      </c>
      <c r="C28" s="268">
        <f>IF(SUM(I23:I27)&gt;0,1,0)</f>
        <v>0</v>
      </c>
      <c r="D28" s="269"/>
      <c r="E28" s="270"/>
      <c r="F28" s="106" t="s">
        <v>108</v>
      </c>
      <c r="G28" s="107">
        <f>IF(A28="",0,IF(C28=TRUE,VLOOKUP(A28,Tarifs!A$3:E$21,3,FALSE),VLOOKUP(A28,Tarifs!A$3:E$21,2,FALSE)))</f>
        <v>100</v>
      </c>
      <c r="H28" s="107" t="s">
        <v>109</v>
      </c>
      <c r="I28" s="107">
        <f>C28*G28</f>
        <v>0</v>
      </c>
      <c r="J28" s="108" t="s">
        <v>110</v>
      </c>
      <c r="K28" s="107">
        <f>IF(Tarifs!D$93=8,IF(M$3=0,I28,IF(I28+(SUM(K$19:K27))&gt;M$3,M$3-SUM(K$19:K27),I28)),I28-M28)</f>
        <v>0</v>
      </c>
      <c r="L28" s="107" t="s">
        <v>109</v>
      </c>
      <c r="M28" s="109">
        <f>IF(Tarifs!D$93=8,I28-K28,IF(A28="",0,IF(C28=TRUE,E28*VLOOKUP(A28,Tarifs!A$3:E$21,5,FALSE),C28*VLOOKUP(A28,Tarifs!A$3:E$21,4,FALSE))))</f>
        <v>0</v>
      </c>
      <c r="N28" s="68"/>
      <c r="O28" s="68"/>
      <c r="P28" s="68"/>
      <c r="Q28" s="68"/>
      <c r="R28" s="68"/>
      <c r="S28" s="68"/>
      <c r="T28" s="68"/>
      <c r="U28" s="68"/>
      <c r="V28" s="68"/>
      <c r="W28" s="68"/>
      <c r="X28" s="68"/>
      <c r="Y28" s="68"/>
      <c r="Z28" s="68"/>
    </row>
    <row r="29" spans="1:26" ht="25.5" customHeight="1" x14ac:dyDescent="0.25">
      <c r="A29" s="125" t="s">
        <v>117</v>
      </c>
      <c r="B29" s="125" t="s">
        <v>101</v>
      </c>
      <c r="C29" s="125"/>
      <c r="D29" s="125"/>
      <c r="E29" s="125" t="s">
        <v>114</v>
      </c>
      <c r="F29" s="125"/>
      <c r="G29" s="120" t="s">
        <v>115</v>
      </c>
      <c r="H29" s="125"/>
      <c r="I29" s="120" t="s">
        <v>104</v>
      </c>
      <c r="J29" s="125"/>
      <c r="K29" s="120" t="s">
        <v>105</v>
      </c>
      <c r="L29" s="125"/>
      <c r="M29" s="120" t="str">
        <f>IF(Tarifs!$D$93=Tarifs!$B$97,"Payé par l'organisme", "Payé par l'artiste")</f>
        <v>Payé par l'artiste</v>
      </c>
      <c r="N29" s="87" t="s">
        <v>117</v>
      </c>
      <c r="O29" s="87" t="s">
        <v>117</v>
      </c>
      <c r="P29" s="87" t="s">
        <v>117</v>
      </c>
      <c r="Q29" s="87" t="s">
        <v>117</v>
      </c>
      <c r="R29" s="87" t="s">
        <v>117</v>
      </c>
      <c r="S29" s="68"/>
      <c r="T29" s="68"/>
      <c r="U29" s="68"/>
      <c r="V29" s="68"/>
      <c r="W29" s="68"/>
      <c r="X29" s="68"/>
      <c r="Y29" s="68"/>
      <c r="Z29" s="68"/>
    </row>
    <row r="30" spans="1:26" ht="14.25" customHeight="1" x14ac:dyDescent="0.25">
      <c r="A30" s="215"/>
      <c r="B30" s="265"/>
      <c r="C30" s="266"/>
      <c r="D30" s="267"/>
      <c r="E30" s="188"/>
      <c r="F30" s="106" t="s">
        <v>108</v>
      </c>
      <c r="G30" s="107">
        <f>IF(A30="",0,VLOOKUP(A30,Tarifs!A$35:B$39,2,FALSE))</f>
        <v>0</v>
      </c>
      <c r="H30" s="107" t="s">
        <v>109</v>
      </c>
      <c r="I30" s="107">
        <f t="shared" ref="I30:I33" si="2">E30*G30</f>
        <v>0</v>
      </c>
      <c r="J30" s="108" t="s">
        <v>110</v>
      </c>
      <c r="K30" s="107">
        <f>IF(OR(I30=0,$M$4=0),0,IF(Tarifs!D$93=8,IF(M$4&gt;I30,I30,M$4),0))</f>
        <v>0</v>
      </c>
      <c r="L30" s="107" t="s">
        <v>109</v>
      </c>
      <c r="M30" s="109">
        <f t="shared" ref="M30:M33" si="3">I30-K30</f>
        <v>0</v>
      </c>
      <c r="N30" s="68"/>
      <c r="O30" s="68"/>
      <c r="P30" s="68"/>
      <c r="Q30" s="68"/>
      <c r="R30" s="68"/>
      <c r="S30" s="68"/>
      <c r="T30" s="68"/>
      <c r="U30" s="68"/>
      <c r="V30" s="68"/>
      <c r="W30" s="68"/>
      <c r="X30" s="68"/>
      <c r="Y30" s="68"/>
      <c r="Z30" s="68"/>
    </row>
    <row r="31" spans="1:26" ht="14.25" customHeight="1" x14ac:dyDescent="0.25">
      <c r="A31" s="216"/>
      <c r="B31" s="280"/>
      <c r="C31" s="266"/>
      <c r="D31" s="267"/>
      <c r="E31" s="187"/>
      <c r="F31" s="102" t="s">
        <v>108</v>
      </c>
      <c r="G31" s="103">
        <f>IF(A31="",0,VLOOKUP(A31,Tarifs!A$35:B$39,2,FALSE))</f>
        <v>0</v>
      </c>
      <c r="H31" s="103" t="s">
        <v>109</v>
      </c>
      <c r="I31" s="103">
        <f t="shared" si="2"/>
        <v>0</v>
      </c>
      <c r="J31" s="104" t="s">
        <v>110</v>
      </c>
      <c r="K31" s="103">
        <f>IF(OR(I31=0,$M$4=0),0,IF(Tarifs!D$93=8,IF(M$4-K30&gt;I31,I31,M$4-K30),0))</f>
        <v>0</v>
      </c>
      <c r="L31" s="103" t="s">
        <v>109</v>
      </c>
      <c r="M31" s="105">
        <f t="shared" si="3"/>
        <v>0</v>
      </c>
      <c r="N31" s="68"/>
      <c r="O31" s="68"/>
      <c r="P31" s="68"/>
      <c r="Q31" s="68"/>
      <c r="R31" s="68"/>
      <c r="S31" s="68"/>
      <c r="T31" s="68"/>
      <c r="U31" s="68"/>
      <c r="V31" s="68"/>
      <c r="W31" s="68"/>
      <c r="X31" s="68"/>
      <c r="Y31" s="68"/>
      <c r="Z31" s="68"/>
    </row>
    <row r="32" spans="1:26" ht="14.25" customHeight="1" x14ac:dyDescent="0.25">
      <c r="A32" s="215"/>
      <c r="B32" s="265"/>
      <c r="C32" s="266"/>
      <c r="D32" s="267"/>
      <c r="E32" s="188"/>
      <c r="F32" s="106" t="s">
        <v>108</v>
      </c>
      <c r="G32" s="107">
        <f>IF(A32="",0,VLOOKUP(A32,Tarifs!A$35:B$39,2,FALSE))</f>
        <v>0</v>
      </c>
      <c r="H32" s="107" t="s">
        <v>109</v>
      </c>
      <c r="I32" s="107">
        <f t="shared" si="2"/>
        <v>0</v>
      </c>
      <c r="J32" s="108" t="s">
        <v>110</v>
      </c>
      <c r="K32" s="107">
        <f>IF(OR(I32=0,$M$4=0),0,IF(Tarifs!D$93=8,IF(M$4-SUM(K30:K31)&gt;I32,I32,M$4-SUM(K30:K31)),0))</f>
        <v>0</v>
      </c>
      <c r="L32" s="107" t="s">
        <v>109</v>
      </c>
      <c r="M32" s="109">
        <f t="shared" si="3"/>
        <v>0</v>
      </c>
      <c r="N32" s="68"/>
      <c r="O32" s="68"/>
      <c r="P32" s="68"/>
      <c r="Q32" s="68"/>
      <c r="R32" s="68"/>
      <c r="S32" s="68"/>
      <c r="T32" s="68"/>
      <c r="U32" s="68"/>
      <c r="V32" s="68"/>
      <c r="W32" s="68"/>
      <c r="X32" s="68"/>
      <c r="Y32" s="68"/>
      <c r="Z32" s="68"/>
    </row>
    <row r="33" spans="1:26" ht="14.25" customHeight="1" x14ac:dyDescent="0.25">
      <c r="A33" s="217"/>
      <c r="B33" s="281"/>
      <c r="C33" s="282"/>
      <c r="D33" s="283"/>
      <c r="E33" s="189"/>
      <c r="F33" s="126" t="s">
        <v>108</v>
      </c>
      <c r="G33" s="127">
        <f>IF(A33="",0,VLOOKUP(A33,Tarifs!A$35:B$39,2,FALSE))</f>
        <v>0</v>
      </c>
      <c r="H33" s="127" t="s">
        <v>109</v>
      </c>
      <c r="I33" s="127">
        <f t="shared" si="2"/>
        <v>0</v>
      </c>
      <c r="J33" s="128" t="s">
        <v>110</v>
      </c>
      <c r="K33" s="127">
        <f>IF(OR(I33=0,$M$4=0),0,IF(Tarifs!D$93=8,IF(M$4-SUM(K$30:K32)&gt;I33,I33,M$4-SUM(K$30:K32)),0))</f>
        <v>0</v>
      </c>
      <c r="L33" s="127" t="s">
        <v>109</v>
      </c>
      <c r="M33" s="129">
        <f t="shared" si="3"/>
        <v>0</v>
      </c>
      <c r="N33" s="68"/>
      <c r="O33" s="68"/>
      <c r="P33" s="68"/>
      <c r="Q33" s="68"/>
      <c r="R33" s="68"/>
      <c r="S33" s="68"/>
      <c r="T33" s="68"/>
      <c r="U33" s="68"/>
      <c r="V33" s="68"/>
      <c r="W33" s="68"/>
      <c r="X33" s="68"/>
      <c r="Y33" s="68"/>
      <c r="Z33" s="68"/>
    </row>
    <row r="34" spans="1:26" ht="18.75" customHeight="1" x14ac:dyDescent="0.3">
      <c r="A34" s="284" t="s">
        <v>118</v>
      </c>
      <c r="B34" s="249"/>
      <c r="C34" s="249"/>
      <c r="D34" s="249"/>
      <c r="E34" s="249"/>
      <c r="F34" s="249"/>
      <c r="G34" s="249"/>
      <c r="H34" s="239"/>
      <c r="I34" s="114">
        <f>SUM(I23:I33)</f>
        <v>0</v>
      </c>
      <c r="J34" s="114" t="s">
        <v>110</v>
      </c>
      <c r="K34" s="115">
        <f>SUM(K23:K33)</f>
        <v>0</v>
      </c>
      <c r="L34" s="115" t="s">
        <v>109</v>
      </c>
      <c r="M34" s="116">
        <f>SUM(M23:R33)</f>
        <v>0</v>
      </c>
      <c r="N34" s="68"/>
      <c r="O34" s="68"/>
      <c r="P34" s="68"/>
      <c r="Q34" s="68"/>
      <c r="R34" s="68"/>
      <c r="S34" s="68"/>
      <c r="T34" s="68"/>
      <c r="U34" s="68"/>
      <c r="V34" s="68"/>
      <c r="W34" s="68"/>
      <c r="X34" s="68"/>
      <c r="Y34" s="68"/>
      <c r="Z34" s="68"/>
    </row>
    <row r="35" spans="1:26" ht="14.25" customHeight="1" x14ac:dyDescent="0.25">
      <c r="A35" s="117"/>
      <c r="B35" s="117"/>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x14ac:dyDescent="0.25">
      <c r="A36" s="130" t="s">
        <v>119</v>
      </c>
      <c r="B36" s="293" t="s">
        <v>101</v>
      </c>
      <c r="C36" s="294" t="s">
        <v>113</v>
      </c>
      <c r="D36" s="260"/>
      <c r="E36" s="295" t="s">
        <v>114</v>
      </c>
      <c r="F36" s="131"/>
      <c r="G36" s="295" t="s">
        <v>115</v>
      </c>
      <c r="H36" s="131"/>
      <c r="I36" s="295" t="s">
        <v>104</v>
      </c>
      <c r="J36" s="132"/>
      <c r="K36" s="295" t="s">
        <v>105</v>
      </c>
      <c r="L36" s="133"/>
      <c r="M36" s="295" t="str">
        <f>IF(Tarifs!$D$93=Tarifs!$B$97,"Payé par l'organisme", "Payé par l'artiste")</f>
        <v>Payé par l'artiste</v>
      </c>
      <c r="N36" s="68"/>
      <c r="O36" s="68"/>
      <c r="P36" s="68"/>
      <c r="Q36" s="68"/>
      <c r="R36" s="68"/>
      <c r="S36" s="68"/>
      <c r="T36" s="68"/>
      <c r="U36" s="68"/>
      <c r="V36" s="68"/>
      <c r="W36" s="68"/>
      <c r="X36" s="68"/>
      <c r="Y36" s="68"/>
      <c r="Z36" s="68"/>
    </row>
    <row r="37" spans="1:26" ht="14.25" customHeight="1" x14ac:dyDescent="0.25">
      <c r="A37" s="134" t="s">
        <v>116</v>
      </c>
      <c r="B37" s="237"/>
      <c r="C37" s="261"/>
      <c r="D37" s="262"/>
      <c r="E37" s="237"/>
      <c r="F37" s="131"/>
      <c r="G37" s="237"/>
      <c r="H37" s="131"/>
      <c r="I37" s="237"/>
      <c r="J37" s="132"/>
      <c r="K37" s="237"/>
      <c r="L37" s="132"/>
      <c r="M37" s="237" t="str">
        <f>IF(Tarifs!$D$93=Tarifs!$B$97,"Payé par l'organisme", "Payé par l'artiste")</f>
        <v>Payé par l'artiste</v>
      </c>
      <c r="N37" s="68"/>
      <c r="O37" s="68"/>
      <c r="P37" s="68"/>
      <c r="Q37" s="68"/>
      <c r="R37" s="68"/>
      <c r="S37" s="68"/>
      <c r="T37" s="68"/>
      <c r="U37" s="68"/>
      <c r="V37" s="68"/>
      <c r="W37" s="68"/>
      <c r="X37" s="68"/>
      <c r="Y37" s="68"/>
      <c r="Z37" s="68"/>
    </row>
    <row r="38" spans="1:26" ht="14.25" customHeight="1" x14ac:dyDescent="0.25">
      <c r="A38" s="218"/>
      <c r="B38" s="222"/>
      <c r="C38" s="285" t="b">
        <v>0</v>
      </c>
      <c r="D38" s="253"/>
      <c r="E38" s="190"/>
      <c r="F38" s="102" t="s">
        <v>108</v>
      </c>
      <c r="G38" s="103">
        <f>IF(A38="",0,IF(C38=TRUE,VLOOKUP(A38,Tarifs!A$3:E$21,3,FALSE),VLOOKUP(A38,Tarifs!A$3:E$21,2,FALSE)))</f>
        <v>0</v>
      </c>
      <c r="H38" s="103" t="s">
        <v>109</v>
      </c>
      <c r="I38" s="103">
        <f t="shared" ref="I38:I41" si="4">E38*G38</f>
        <v>0</v>
      </c>
      <c r="J38" s="104" t="s">
        <v>110</v>
      </c>
      <c r="K38" s="103">
        <f>IF(Tarifs!D$93=8,IF(M$3=0,I38,IF(I38+(SUM(K$19:K28))&gt;M$3,M$3-SUM(K$19:K28),I38)),I38-M38)</f>
        <v>0</v>
      </c>
      <c r="L38" s="103" t="s">
        <v>109</v>
      </c>
      <c r="M38" s="105">
        <f>IF(Tarifs!D$93=8,I38-K38,IF(A38="",0,IF(C38=TRUE,E38*VLOOKUP(A38,Tarifs!A$3:E$21,5,FALSE),E38*VLOOKUP(A38,Tarifs!A$3:E$21,4,FALSE))))</f>
        <v>0</v>
      </c>
      <c r="N38" s="68"/>
      <c r="O38" s="68"/>
      <c r="P38" s="68"/>
      <c r="Q38" s="68"/>
      <c r="R38" s="68"/>
      <c r="S38" s="68"/>
      <c r="T38" s="68"/>
      <c r="U38" s="68"/>
      <c r="V38" s="68"/>
      <c r="W38" s="68"/>
      <c r="X38" s="68"/>
      <c r="Y38" s="68"/>
      <c r="Z38" s="68"/>
    </row>
    <row r="39" spans="1:26" ht="14.25" customHeight="1" x14ac:dyDescent="0.25">
      <c r="A39" s="219"/>
      <c r="B39" s="223"/>
      <c r="C39" s="286" t="b">
        <v>0</v>
      </c>
      <c r="D39" s="253"/>
      <c r="E39" s="191"/>
      <c r="F39" s="106" t="s">
        <v>108</v>
      </c>
      <c r="G39" s="107">
        <f>IF(A39="",0,IF(C39=TRUE,VLOOKUP(A39,Tarifs!A$3:E$21,3,FALSE),VLOOKUP(A39,Tarifs!A$3:E$21,2,FALSE)))</f>
        <v>0</v>
      </c>
      <c r="H39" s="107" t="s">
        <v>109</v>
      </c>
      <c r="I39" s="107">
        <f t="shared" si="4"/>
        <v>0</v>
      </c>
      <c r="J39" s="108" t="s">
        <v>110</v>
      </c>
      <c r="K39" s="107">
        <f>IF(Tarifs!D$93=8,IF(M$3=0,I39,IF(I39+(SUM(K$19:K28)+K38)&gt;M$3,M$3-SUM(K$19:K28)-K38,I39)),I39-M39)</f>
        <v>0</v>
      </c>
      <c r="L39" s="107" t="s">
        <v>109</v>
      </c>
      <c r="M39" s="109">
        <f>IF(Tarifs!D$93=8,I39-K39,IF(A39="",0,IF(C39=TRUE,E39*VLOOKUP(A39,Tarifs!A$3:E$21,5,FALSE),E39*VLOOKUP(A39,Tarifs!A$3:E$21,4,FALSE))))</f>
        <v>0</v>
      </c>
      <c r="N39" s="68"/>
      <c r="O39" s="68"/>
      <c r="P39" s="68"/>
      <c r="Q39" s="68"/>
      <c r="R39" s="68"/>
      <c r="S39" s="68"/>
      <c r="T39" s="68"/>
      <c r="U39" s="68"/>
      <c r="V39" s="68"/>
      <c r="W39" s="68"/>
      <c r="X39" s="68"/>
      <c r="Y39" s="68"/>
      <c r="Z39" s="68"/>
    </row>
    <row r="40" spans="1:26" ht="14.25" customHeight="1" x14ac:dyDescent="0.25">
      <c r="A40" s="218"/>
      <c r="B40" s="222"/>
      <c r="C40" s="285" t="b">
        <v>0</v>
      </c>
      <c r="D40" s="253"/>
      <c r="E40" s="190"/>
      <c r="F40" s="102" t="s">
        <v>108</v>
      </c>
      <c r="G40" s="103">
        <f>IF(A40="",0,IF(C40=TRUE,VLOOKUP(A40,Tarifs!A$3:E$21,3,FALSE),VLOOKUP(A40,Tarifs!A$3:E$21,2,FALSE)))</f>
        <v>0</v>
      </c>
      <c r="H40" s="103" t="s">
        <v>109</v>
      </c>
      <c r="I40" s="103">
        <f t="shared" si="4"/>
        <v>0</v>
      </c>
      <c r="J40" s="104" t="s">
        <v>110</v>
      </c>
      <c r="K40" s="103">
        <f>IF(Tarifs!D$93=8,IF(M$3=0,I40,IF(I40+(SUM(K$19:K28,K38:K39))&gt;M$3,M$3-(SUM(K$19:K28,K38:K39)),I40)),I40-M40)</f>
        <v>0</v>
      </c>
      <c r="L40" s="103" t="s">
        <v>109</v>
      </c>
      <c r="M40" s="105">
        <f>IF(Tarifs!D$93=8,I40-K40,IF(A40="",0,IF(C40=TRUE,E40*VLOOKUP(A40,Tarifs!A$3:E$21,5,FALSE),E40*VLOOKUP(A40,Tarifs!A$3:E$21,4,FALSE))))</f>
        <v>0</v>
      </c>
      <c r="N40" s="68"/>
      <c r="O40" s="68"/>
      <c r="P40" s="68"/>
      <c r="Q40" s="68"/>
      <c r="R40" s="68"/>
      <c r="S40" s="68"/>
      <c r="T40" s="68"/>
      <c r="U40" s="68"/>
      <c r="V40" s="68"/>
      <c r="W40" s="68"/>
      <c r="X40" s="68"/>
      <c r="Y40" s="68"/>
      <c r="Z40" s="68"/>
    </row>
    <row r="41" spans="1:26" ht="14.25" customHeight="1" x14ac:dyDescent="0.25">
      <c r="A41" s="219"/>
      <c r="B41" s="223"/>
      <c r="C41" s="286" t="b">
        <v>0</v>
      </c>
      <c r="D41" s="253"/>
      <c r="E41" s="191"/>
      <c r="F41" s="106" t="s">
        <v>108</v>
      </c>
      <c r="G41" s="107">
        <f>IF(A41="",0,IF(C41=TRUE,VLOOKUP(A41,Tarifs!A$3:E$21,3,FALSE),VLOOKUP(A41,Tarifs!A$3:E$21,2,FALSE)))</f>
        <v>0</v>
      </c>
      <c r="H41" s="107" t="s">
        <v>109</v>
      </c>
      <c r="I41" s="107">
        <f t="shared" si="4"/>
        <v>0</v>
      </c>
      <c r="J41" s="108" t="s">
        <v>110</v>
      </c>
      <c r="K41" s="107">
        <f>IF(Tarifs!D$93=8,IF(M$3=0,I41,IF(I41+(SUM(K$19:K28,K38:K40))&gt;M$3,M$3-(SUM(K$19:K28,K38:K40)),I41)),I41-M41)</f>
        <v>0</v>
      </c>
      <c r="L41" s="107" t="s">
        <v>109</v>
      </c>
      <c r="M41" s="109">
        <f>IF(Tarifs!D$93=8,I41-K41,IF(A41="",0,IF(C41=TRUE,E41*VLOOKUP(A41,Tarifs!A$3:E$21,5,FALSE),E41*VLOOKUP(A41,Tarifs!A$3:E$21,4,FALSE))))</f>
        <v>0</v>
      </c>
      <c r="N41" s="68"/>
      <c r="O41" s="68"/>
      <c r="P41" s="68"/>
      <c r="Q41" s="68"/>
      <c r="R41" s="68"/>
      <c r="S41" s="68"/>
      <c r="T41" s="68"/>
      <c r="U41" s="68"/>
      <c r="V41" s="68"/>
      <c r="W41" s="68"/>
      <c r="X41" s="68"/>
      <c r="Y41" s="68"/>
      <c r="Z41" s="68"/>
    </row>
    <row r="42" spans="1:26" ht="25.5" customHeight="1" x14ac:dyDescent="0.25">
      <c r="A42" s="135" t="s">
        <v>117</v>
      </c>
      <c r="B42" s="135" t="s">
        <v>101</v>
      </c>
      <c r="C42" s="135"/>
      <c r="D42" s="135"/>
      <c r="E42" s="135" t="s">
        <v>114</v>
      </c>
      <c r="F42" s="135"/>
      <c r="G42" s="132" t="s">
        <v>115</v>
      </c>
      <c r="H42" s="135"/>
      <c r="I42" s="132" t="s">
        <v>104</v>
      </c>
      <c r="J42" s="135"/>
      <c r="K42" s="132" t="s">
        <v>105</v>
      </c>
      <c r="L42" s="135"/>
      <c r="M42" s="132" t="str">
        <f>IF(Tarifs!$D$93=Tarifs!$B$97,"Payé par l'organisme", "Payé par l'artiste")</f>
        <v>Payé par l'artiste</v>
      </c>
      <c r="N42" s="87" t="s">
        <v>117</v>
      </c>
      <c r="O42" s="87" t="s">
        <v>117</v>
      </c>
      <c r="P42" s="87" t="s">
        <v>117</v>
      </c>
      <c r="Q42" s="87" t="s">
        <v>117</v>
      </c>
      <c r="R42" s="87" t="s">
        <v>117</v>
      </c>
      <c r="S42" s="68"/>
      <c r="T42" s="68"/>
      <c r="U42" s="68"/>
      <c r="V42" s="68"/>
      <c r="W42" s="68"/>
      <c r="X42" s="68"/>
      <c r="Y42" s="68"/>
      <c r="Z42" s="68"/>
    </row>
    <row r="43" spans="1:26" ht="14.25" customHeight="1" x14ac:dyDescent="0.25">
      <c r="A43" s="219"/>
      <c r="B43" s="287"/>
      <c r="C43" s="266"/>
      <c r="D43" s="267"/>
      <c r="E43" s="191"/>
      <c r="F43" s="106" t="s">
        <v>108</v>
      </c>
      <c r="G43" s="107">
        <f>IF(A43="",0,VLOOKUP(A43,Tarifs!A$35:B$39,2,FALSE))</f>
        <v>0</v>
      </c>
      <c r="H43" s="107" t="s">
        <v>109</v>
      </c>
      <c r="I43" s="107">
        <f t="shared" ref="I43:I45" si="5">E43*G43</f>
        <v>0</v>
      </c>
      <c r="J43" s="108" t="s">
        <v>110</v>
      </c>
      <c r="K43" s="107">
        <f>IF(OR(I43=0,$M$4=0),0,IF(Tarifs!D$93=8,IF(M$4&gt;=(I43+SUM(K$30:K$33)),I43,M$4-SUM(K$30:K$33)),0))</f>
        <v>0</v>
      </c>
      <c r="L43" s="107" t="s">
        <v>109</v>
      </c>
      <c r="M43" s="109">
        <f t="shared" ref="M43:M45" si="6">I43-K43</f>
        <v>0</v>
      </c>
      <c r="N43" s="68"/>
      <c r="O43" s="68"/>
      <c r="P43" s="68"/>
      <c r="Q43" s="68"/>
      <c r="R43" s="68"/>
      <c r="S43" s="68"/>
      <c r="T43" s="84"/>
      <c r="U43" s="68"/>
      <c r="V43" s="68"/>
      <c r="W43" s="68"/>
      <c r="X43" s="68"/>
      <c r="Y43" s="68"/>
      <c r="Z43" s="68"/>
    </row>
    <row r="44" spans="1:26" ht="14.25" customHeight="1" x14ac:dyDescent="0.25">
      <c r="A44" s="220"/>
      <c r="B44" s="288"/>
      <c r="C44" s="266"/>
      <c r="D44" s="267"/>
      <c r="E44" s="192"/>
      <c r="F44" s="102" t="s">
        <v>108</v>
      </c>
      <c r="G44" s="103">
        <f>IF(A44="",0,VLOOKUP(A44,Tarifs!A$35:B$39,2,FALSE))</f>
        <v>0</v>
      </c>
      <c r="H44" s="103" t="s">
        <v>109</v>
      </c>
      <c r="I44" s="103">
        <f t="shared" si="5"/>
        <v>0</v>
      </c>
      <c r="J44" s="104" t="s">
        <v>110</v>
      </c>
      <c r="K44" s="103">
        <f>IF(OR(I44=0,$M$4=0),0,IF(Tarifs!D$93=8,IF(M$4-K43-SUM(K$30:K$33)&gt;I44,I44,M$4-K43-SUM(K$30:K$33)),0))</f>
        <v>0</v>
      </c>
      <c r="L44" s="103" t="s">
        <v>109</v>
      </c>
      <c r="M44" s="105">
        <f t="shared" si="6"/>
        <v>0</v>
      </c>
      <c r="N44" s="68"/>
      <c r="O44" s="68"/>
      <c r="P44" s="68"/>
      <c r="Q44" s="68"/>
      <c r="R44" s="68"/>
      <c r="S44" s="68"/>
      <c r="T44" s="68"/>
      <c r="U44" s="68"/>
      <c r="V44" s="68"/>
      <c r="W44" s="68"/>
      <c r="X44" s="68"/>
      <c r="Y44" s="68"/>
      <c r="Z44" s="68"/>
    </row>
    <row r="45" spans="1:26" ht="14.25" customHeight="1" x14ac:dyDescent="0.25">
      <c r="A45" s="221"/>
      <c r="B45" s="290"/>
      <c r="C45" s="282"/>
      <c r="D45" s="283"/>
      <c r="E45" s="193"/>
      <c r="F45" s="110" t="s">
        <v>108</v>
      </c>
      <c r="G45" s="111">
        <f>IF(A45="",0,VLOOKUP(A45,Tarifs!A$35:B$39,2,FALSE))</f>
        <v>0</v>
      </c>
      <c r="H45" s="111" t="s">
        <v>109</v>
      </c>
      <c r="I45" s="111">
        <f t="shared" si="5"/>
        <v>0</v>
      </c>
      <c r="J45" s="112" t="s">
        <v>110</v>
      </c>
      <c r="K45" s="111">
        <f>IF(OR(I45=0,$M$4=0),0,IF(Tarifs!D$93=8,IF(M$4-SUM(K43:K44)-SUM(K$30:K$33)&gt;I45,I45,M$4-SUM(K43:K44)-SUM(K$30:K$33)),0))</f>
        <v>0</v>
      </c>
      <c r="L45" s="111" t="s">
        <v>109</v>
      </c>
      <c r="M45" s="113">
        <f t="shared" si="6"/>
        <v>0</v>
      </c>
      <c r="N45" s="68"/>
      <c r="O45" s="68"/>
      <c r="P45" s="68"/>
      <c r="Q45" s="68"/>
      <c r="R45" s="68"/>
      <c r="S45" s="68"/>
      <c r="T45" s="68"/>
      <c r="U45" s="68"/>
      <c r="V45" s="68"/>
      <c r="W45" s="68"/>
      <c r="X45" s="68"/>
      <c r="Y45" s="68"/>
      <c r="Z45" s="68"/>
    </row>
    <row r="46" spans="1:26" ht="18.75" customHeight="1" x14ac:dyDescent="0.3">
      <c r="A46" s="289" t="s">
        <v>120</v>
      </c>
      <c r="B46" s="249"/>
      <c r="C46" s="249"/>
      <c r="D46" s="249"/>
      <c r="E46" s="249"/>
      <c r="F46" s="249"/>
      <c r="G46" s="249"/>
      <c r="H46" s="239"/>
      <c r="I46" s="114">
        <f>SUM(I38:I45)</f>
        <v>0</v>
      </c>
      <c r="J46" s="114" t="s">
        <v>110</v>
      </c>
      <c r="K46" s="115">
        <f>SUM(K38:K45)</f>
        <v>0</v>
      </c>
      <c r="L46" s="115" t="s">
        <v>109</v>
      </c>
      <c r="M46" s="116">
        <f>SUM(M38:R45)</f>
        <v>0</v>
      </c>
      <c r="N46" s="68"/>
      <c r="O46" s="68"/>
      <c r="P46" s="68"/>
      <c r="Q46" s="68"/>
      <c r="R46" s="68"/>
      <c r="S46" s="68"/>
      <c r="T46" s="68"/>
      <c r="U46" s="68"/>
      <c r="V46" s="68"/>
      <c r="W46" s="68"/>
      <c r="X46" s="68"/>
      <c r="Y46" s="68"/>
      <c r="Z46" s="68"/>
    </row>
    <row r="47" spans="1:26" ht="14.25" customHeight="1" x14ac:dyDescent="0.25">
      <c r="A47" s="117"/>
      <c r="B47" s="117"/>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x14ac:dyDescent="0.25">
      <c r="A48" s="291" t="s">
        <v>121</v>
      </c>
      <c r="B48" s="317" t="s">
        <v>101</v>
      </c>
      <c r="C48" s="318"/>
      <c r="D48" s="319"/>
      <c r="E48" s="292" t="s">
        <v>114</v>
      </c>
      <c r="F48" s="136"/>
      <c r="G48" s="292" t="s">
        <v>115</v>
      </c>
      <c r="H48" s="136"/>
      <c r="I48" s="292" t="s">
        <v>104</v>
      </c>
      <c r="J48" s="137"/>
      <c r="K48" s="292" t="s">
        <v>105</v>
      </c>
      <c r="L48" s="138"/>
      <c r="M48" s="292" t="str">
        <f>IF(Tarifs!$D$93=Tarifs!$B$97,"Payé par l'organisme", "Payé par l'artiste")</f>
        <v>Payé par l'artiste</v>
      </c>
      <c r="N48" s="68"/>
      <c r="O48" s="68"/>
      <c r="P48" s="68"/>
      <c r="Q48" s="68"/>
      <c r="R48" s="68"/>
      <c r="S48" s="68"/>
      <c r="T48" s="68"/>
      <c r="U48" s="68"/>
      <c r="V48" s="68"/>
      <c r="W48" s="68"/>
      <c r="X48" s="68"/>
      <c r="Y48" s="68"/>
      <c r="Z48" s="68"/>
    </row>
    <row r="49" spans="1:26" ht="14.25" customHeight="1" x14ac:dyDescent="0.25">
      <c r="A49" s="237"/>
      <c r="B49" s="320"/>
      <c r="C49" s="321"/>
      <c r="D49" s="322"/>
      <c r="E49" s="237"/>
      <c r="F49" s="136"/>
      <c r="G49" s="237"/>
      <c r="H49" s="136"/>
      <c r="I49" s="237"/>
      <c r="J49" s="137"/>
      <c r="K49" s="237"/>
      <c r="L49" s="137"/>
      <c r="M49" s="237" t="str">
        <f>IF(Tarifs!$D$93=Tarifs!$B$97,"Payé par l'organisme", "Payé par l'artiste")</f>
        <v>Payé par l'artiste</v>
      </c>
      <c r="N49" s="68"/>
      <c r="O49" s="68"/>
      <c r="P49" s="84"/>
      <c r="Q49" s="68"/>
      <c r="R49" s="68"/>
      <c r="S49" s="68"/>
      <c r="T49" s="68"/>
      <c r="U49" s="68"/>
      <c r="V49" s="68"/>
      <c r="W49" s="68"/>
      <c r="X49" s="68"/>
      <c r="Y49" s="68"/>
      <c r="Z49" s="68"/>
    </row>
    <row r="50" spans="1:26" ht="14.25" customHeight="1" x14ac:dyDescent="0.25">
      <c r="A50" s="21" t="s">
        <v>19</v>
      </c>
      <c r="B50" s="323"/>
      <c r="C50" s="324"/>
      <c r="D50" s="325"/>
      <c r="E50" s="194"/>
      <c r="F50" s="102" t="s">
        <v>108</v>
      </c>
      <c r="G50" s="103">
        <v>50</v>
      </c>
      <c r="H50" s="103" t="s">
        <v>109</v>
      </c>
      <c r="I50" s="103">
        <f t="shared" ref="I50:I51" si="7">E50*G50</f>
        <v>0</v>
      </c>
      <c r="J50" s="104" t="s">
        <v>110</v>
      </c>
      <c r="K50" s="103">
        <f>IF(Tarifs!D$93=8,IF(M$3=0,I50,IF(I50+(SUM(K$19:K28,K$38:K41))&gt;M$3,M$3-(SUM(K$19:K28,K38:K41)),I50)),I50-M50)</f>
        <v>0</v>
      </c>
      <c r="L50" s="103" t="s">
        <v>109</v>
      </c>
      <c r="M50" s="105">
        <f>IF(Tarifs!D$93=8,I50-K50,IF(A50="",0,E50*VLOOKUP(A50,Tarifs!A$3:E$21,4,FALSE)))</f>
        <v>0</v>
      </c>
      <c r="N50" s="68"/>
      <c r="O50" s="68"/>
      <c r="P50" s="68"/>
      <c r="Q50" s="68"/>
      <c r="R50" s="68"/>
      <c r="S50" s="68"/>
      <c r="T50" s="68"/>
      <c r="U50" s="68"/>
      <c r="V50" s="68"/>
      <c r="W50" s="68"/>
      <c r="X50" s="68"/>
      <c r="Y50" s="68"/>
      <c r="Z50" s="68"/>
    </row>
    <row r="51" spans="1:26" ht="14.25" customHeight="1" x14ac:dyDescent="0.25">
      <c r="A51" s="139" t="s">
        <v>122</v>
      </c>
      <c r="B51" s="271"/>
      <c r="C51" s="272"/>
      <c r="D51" s="253"/>
      <c r="E51" s="195"/>
      <c r="F51" s="106" t="s">
        <v>108</v>
      </c>
      <c r="G51" s="107">
        <v>25</v>
      </c>
      <c r="H51" s="107" t="s">
        <v>109</v>
      </c>
      <c r="I51" s="107">
        <f t="shared" si="7"/>
        <v>0</v>
      </c>
      <c r="J51" s="108" t="s">
        <v>110</v>
      </c>
      <c r="K51" s="107">
        <f>IF(OR(I51=0,$M$4=0),0,IF(Tarifs!D$93=8,IF(M$4&gt;=(I51+SUM(K$30:K$33)+SUM(K43:K45)),I51,M$4-SUM(K$30:K$33)-SUM(K43:K45)),0))</f>
        <v>0</v>
      </c>
      <c r="L51" s="107" t="s">
        <v>109</v>
      </c>
      <c r="M51" s="109">
        <f>I51-K51</f>
        <v>0</v>
      </c>
      <c r="N51" s="68"/>
      <c r="O51" s="68"/>
      <c r="P51" s="68"/>
      <c r="Q51" s="68"/>
      <c r="R51" s="68"/>
      <c r="S51" s="68"/>
      <c r="T51" s="68"/>
      <c r="U51" s="68"/>
      <c r="V51" s="68"/>
      <c r="W51" s="68"/>
      <c r="X51" s="68"/>
      <c r="Y51" s="68"/>
      <c r="Z51" s="68"/>
    </row>
    <row r="52" spans="1:26" ht="14.25" customHeight="1" x14ac:dyDescent="0.25">
      <c r="A52" s="291" t="s">
        <v>123</v>
      </c>
      <c r="B52" s="317" t="s">
        <v>101</v>
      </c>
      <c r="C52" s="318"/>
      <c r="D52" s="319"/>
      <c r="E52" s="292" t="s">
        <v>124</v>
      </c>
      <c r="F52" s="136"/>
      <c r="G52" s="292" t="s">
        <v>103</v>
      </c>
      <c r="H52" s="136"/>
      <c r="I52" s="292" t="s">
        <v>125</v>
      </c>
      <c r="J52" s="137"/>
      <c r="K52" s="292" t="s">
        <v>105</v>
      </c>
      <c r="L52" s="138"/>
      <c r="M52" s="292" t="str">
        <f>IF(Tarifs!$D$93=Tarifs!$B$97,"Payé par l'organisme", "Payé par l'artiste")</f>
        <v>Payé par l'artiste</v>
      </c>
      <c r="N52" s="68"/>
      <c r="O52" s="68"/>
      <c r="P52" s="68"/>
      <c r="Q52" s="68"/>
      <c r="R52" s="68"/>
      <c r="S52" s="68"/>
      <c r="T52" s="68"/>
      <c r="U52" s="68"/>
      <c r="V52" s="68"/>
      <c r="W52" s="68"/>
      <c r="X52" s="68"/>
      <c r="Y52" s="68"/>
      <c r="Z52" s="68"/>
    </row>
    <row r="53" spans="1:26" ht="14.25" customHeight="1" x14ac:dyDescent="0.25">
      <c r="A53" s="237"/>
      <c r="B53" s="320"/>
      <c r="C53" s="321"/>
      <c r="D53" s="322"/>
      <c r="E53" s="237"/>
      <c r="F53" s="136"/>
      <c r="G53" s="237"/>
      <c r="H53" s="136"/>
      <c r="I53" s="237"/>
      <c r="J53" s="137"/>
      <c r="K53" s="237"/>
      <c r="L53" s="137"/>
      <c r="M53" s="237" t="str">
        <f>IF(Tarifs!$D$93=Tarifs!$B$97,"Payé par l'organisme", "Payé par l'artiste")</f>
        <v>Payé par l'artiste</v>
      </c>
      <c r="N53" s="68"/>
      <c r="O53" s="68"/>
      <c r="P53" s="68"/>
      <c r="Q53" s="68"/>
      <c r="R53" s="68"/>
      <c r="S53" s="68"/>
      <c r="T53" s="68"/>
      <c r="U53" s="68"/>
      <c r="V53" s="68"/>
      <c r="W53" s="68"/>
      <c r="X53" s="68"/>
      <c r="Y53" s="68"/>
      <c r="Z53" s="68"/>
    </row>
    <row r="54" spans="1:26" ht="14.25" customHeight="1" x14ac:dyDescent="0.25">
      <c r="A54" s="21" t="s">
        <v>22</v>
      </c>
      <c r="B54" s="333"/>
      <c r="C54" s="272"/>
      <c r="D54" s="334"/>
      <c r="E54" s="194"/>
      <c r="F54" s="102" t="s">
        <v>108</v>
      </c>
      <c r="G54" s="103">
        <f>IF(A54="",0,VLOOKUP(A54,Tarifs!A$23:B$24,2,FALSE))</f>
        <v>150</v>
      </c>
      <c r="H54" s="103" t="s">
        <v>109</v>
      </c>
      <c r="I54" s="103">
        <f t="shared" ref="I54:I55" si="8">E54*G54</f>
        <v>0</v>
      </c>
      <c r="J54" s="104" t="s">
        <v>110</v>
      </c>
      <c r="K54" s="103">
        <f>IF(Tarifs!D$93=8,IF(M$3=0,I54,IF(I54+(SUM(K$19:K28,K38:K41,K50))&gt;M$3,M$3-(SUM(K$19:K28,K38:K41,K50)),I54)),I54-M54)</f>
        <v>0</v>
      </c>
      <c r="L54" s="103" t="s">
        <v>109</v>
      </c>
      <c r="M54" s="105">
        <f>IF(Tarifs!D$93=8,I54-K54,IF(A54="",0,E54*VLOOKUP(A54,Tarifs!A$3:E$24,4,FALSE)))</f>
        <v>0</v>
      </c>
      <c r="N54" s="68"/>
      <c r="O54" s="68"/>
      <c r="P54" s="68"/>
      <c r="Q54" s="68"/>
      <c r="R54" s="68"/>
      <c r="S54" s="68"/>
      <c r="T54" s="68"/>
      <c r="U54" s="68"/>
      <c r="V54" s="68"/>
      <c r="W54" s="68"/>
      <c r="X54" s="68"/>
      <c r="Y54" s="68"/>
      <c r="Z54" s="68"/>
    </row>
    <row r="55" spans="1:26" ht="14.25" customHeight="1" x14ac:dyDescent="0.25">
      <c r="A55" s="139" t="s">
        <v>24</v>
      </c>
      <c r="B55" s="335"/>
      <c r="C55" s="272"/>
      <c r="D55" s="334"/>
      <c r="E55" s="195"/>
      <c r="F55" s="106" t="s">
        <v>108</v>
      </c>
      <c r="G55" s="107">
        <f>IF(A55="",0,VLOOKUP(A55,Tarifs!A$23:B$24,2,FALSE))</f>
        <v>300</v>
      </c>
      <c r="H55" s="107" t="s">
        <v>109</v>
      </c>
      <c r="I55" s="107">
        <f t="shared" si="8"/>
        <v>0</v>
      </c>
      <c r="J55" s="108" t="s">
        <v>110</v>
      </c>
      <c r="K55" s="107">
        <f>IF(Tarifs!D$93=8,IF(M$3=0,I55,IF(I55+(SUM(K$19:K28,K38:K41,K50,K54))&gt;M$3,M$3-(SUM(K$19:K28,K38:K41,K50,K54)),I55)),I55-M55)</f>
        <v>0</v>
      </c>
      <c r="L55" s="107" t="s">
        <v>109</v>
      </c>
      <c r="M55" s="109">
        <f>IF(Tarifs!D$93=8,I55-K55,IF(A55="",0,E55*VLOOKUP(A55,Tarifs!A$3:E$24,4,FALSE)))</f>
        <v>0</v>
      </c>
      <c r="N55" s="68"/>
      <c r="O55" s="68"/>
      <c r="P55" s="68"/>
      <c r="Q55" s="68"/>
      <c r="R55" s="68"/>
      <c r="S55" s="68"/>
      <c r="T55" s="68"/>
      <c r="U55" s="68"/>
      <c r="V55" s="68"/>
      <c r="W55" s="68"/>
      <c r="X55" s="68"/>
      <c r="Y55" s="68"/>
      <c r="Z55" s="68"/>
    </row>
    <row r="56" spans="1:26" ht="15" customHeight="1" x14ac:dyDescent="0.25">
      <c r="A56" s="336" t="s">
        <v>26</v>
      </c>
      <c r="B56" s="337" t="s">
        <v>101</v>
      </c>
      <c r="C56" s="338" t="s">
        <v>126</v>
      </c>
      <c r="D56" s="140"/>
      <c r="E56" s="338" t="s">
        <v>124</v>
      </c>
      <c r="F56" s="326"/>
      <c r="G56" s="292" t="s">
        <v>131</v>
      </c>
      <c r="H56" s="326"/>
      <c r="I56" s="292" t="s">
        <v>125</v>
      </c>
      <c r="J56" s="292"/>
      <c r="K56" s="292" t="s">
        <v>105</v>
      </c>
      <c r="L56" s="326"/>
      <c r="M56" s="292" t="str">
        <f>IF(Tarifs!$D$93=Tarifs!$B$97,"Payé par l'organisme", "Payé par l'artiste")</f>
        <v>Payé par l'artiste</v>
      </c>
      <c r="N56" s="68"/>
      <c r="O56" s="68"/>
      <c r="P56" s="68"/>
      <c r="Q56" s="68"/>
      <c r="R56" s="68"/>
      <c r="S56" s="68"/>
      <c r="T56" s="68"/>
      <c r="U56" s="68"/>
      <c r="V56" s="68"/>
      <c r="W56" s="68"/>
      <c r="X56" s="68"/>
      <c r="Y56" s="68"/>
      <c r="Z56" s="68"/>
    </row>
    <row r="57" spans="1:26" ht="15" customHeight="1" x14ac:dyDescent="0.25">
      <c r="A57" s="237"/>
      <c r="B57" s="237"/>
      <c r="C57" s="237"/>
      <c r="D57" s="140"/>
      <c r="E57" s="237"/>
      <c r="F57" s="237"/>
      <c r="G57" s="237"/>
      <c r="H57" s="237"/>
      <c r="I57" s="237"/>
      <c r="J57" s="237"/>
      <c r="K57" s="237"/>
      <c r="L57" s="237"/>
      <c r="M57" s="237" t="str">
        <f>IF(Tarifs!$D$93=Tarifs!$B$97,"Payé par l'organisme", "Payé par l'artiste")</f>
        <v>Payé par l'artiste</v>
      </c>
      <c r="N57" s="68" t="s">
        <v>127</v>
      </c>
      <c r="O57" s="68" t="s">
        <v>90</v>
      </c>
      <c r="P57" s="68" t="s">
        <v>128</v>
      </c>
      <c r="Q57" s="68" t="s">
        <v>89</v>
      </c>
      <c r="R57" s="68"/>
      <c r="S57" s="68"/>
      <c r="T57" s="68"/>
      <c r="U57" s="68"/>
      <c r="V57" s="68"/>
      <c r="W57" s="68"/>
      <c r="X57" s="68"/>
      <c r="Y57" s="68"/>
      <c r="Z57" s="68"/>
    </row>
    <row r="58" spans="1:26" ht="14.25" customHeight="1" x14ac:dyDescent="0.25">
      <c r="A58" s="21" t="s">
        <v>27</v>
      </c>
      <c r="B58" s="196"/>
      <c r="C58" s="141">
        <f>IF(DUREE="",0,IF(DUREE&lt;15,"N/A",DUREE))</f>
        <v>0</v>
      </c>
      <c r="D58" s="142" t="s">
        <v>108</v>
      </c>
      <c r="E58" s="197"/>
      <c r="F58" s="103" t="s">
        <v>108</v>
      </c>
      <c r="G58" s="103">
        <f>VLOOKUP(A58,Tarifs!A$26:E$30,2,FALSE)</f>
        <v>20</v>
      </c>
      <c r="H58" s="103" t="s">
        <v>109</v>
      </c>
      <c r="I58" s="103">
        <f>IFERROR(C58*E58*G58,0)</f>
        <v>0</v>
      </c>
      <c r="J58" s="104" t="s">
        <v>110</v>
      </c>
      <c r="K58" s="103">
        <f>IF(Tarifs!D$93=8,IF(M$3=0,I58,IF(I58+(SUM(K$19:K28,K38:K41,K50,K54:K55))&gt;M$3,M$3-(SUM(K$19:K28,K38:K41,K50,K54:K55)),I58)),I58-M58)</f>
        <v>0</v>
      </c>
      <c r="L58" s="103" t="s">
        <v>109</v>
      </c>
      <c r="M58" s="105">
        <f>IFERROR(IF(Tarifs!D$93=8,I58-K58,IF(A58="",0,C58*E58*VLOOKUP(A58,Tarifs!A$3:E$30,4,FALSE))),0)</f>
        <v>0</v>
      </c>
      <c r="N58" s="84">
        <f>M3-K19-SUM(K23:K28)-SUM(K38:K41)-K50</f>
        <v>8000</v>
      </c>
      <c r="O58" s="84">
        <f>IF(C58=0,0,IF(M$3=0,C58*Tarifs!#REF!*DUREE,IF(N58&gt;C58*Tarifs!#REF!*DUREE,C58*Tarifs!#REF!*DUREE,IF(AND(N58&lt;C58*Tarifs!#REF!*DUREE,N58&gt;0),N58,0))))</f>
        <v>0</v>
      </c>
      <c r="P58" s="84">
        <f>M4-SUM(K30:K33)-SUM(K43:K45)-K51</f>
        <v>0</v>
      </c>
      <c r="Q58" s="84">
        <f>IF(C58=0,0,IF(P58&gt;C58*Tarifs!#REF!*DUREE,C58*Tarifs!#REF!*DUREE,IF(AND(P58&lt;C58*Tarifs!#REF!*DUREE,P58&gt;0),P58,0)))</f>
        <v>0</v>
      </c>
      <c r="R58" s="84">
        <f t="shared" ref="R58:R60" si="9">O58+Q58</f>
        <v>0</v>
      </c>
      <c r="S58" s="68"/>
      <c r="T58" s="68"/>
      <c r="U58" s="68"/>
      <c r="V58" s="68"/>
      <c r="W58" s="68"/>
      <c r="X58" s="68"/>
      <c r="Y58" s="68"/>
      <c r="Z58" s="68"/>
    </row>
    <row r="59" spans="1:26" ht="15.75" customHeight="1" x14ac:dyDescent="0.25">
      <c r="A59" s="139" t="s">
        <v>29</v>
      </c>
      <c r="B59" s="271"/>
      <c r="C59" s="272"/>
      <c r="D59" s="253"/>
      <c r="E59" s="195"/>
      <c r="F59" s="106" t="s">
        <v>108</v>
      </c>
      <c r="G59" s="107">
        <f>VLOOKUP(A59,Tarifs!A$26:E$30,2,FALSE)</f>
        <v>300</v>
      </c>
      <c r="H59" s="107" t="s">
        <v>109</v>
      </c>
      <c r="I59" s="107">
        <f>E59*G59</f>
        <v>0</v>
      </c>
      <c r="J59" s="108" t="s">
        <v>110</v>
      </c>
      <c r="K59" s="107">
        <f>IF(Tarifs!D$93=8,IF(M$3=0,I59,IF(I59+(SUM(K$19:K28,K38:K41,K50,K54:K55,K58))&gt;M$3,M$3-(SUM(K$19:K28,K38:K41,K50,K54:K55,K58)),I59)),I59-M59)</f>
        <v>0</v>
      </c>
      <c r="L59" s="107" t="s">
        <v>109</v>
      </c>
      <c r="M59" s="109">
        <f>IF(Tarifs!D$93=8,I59-K59,IF(A59="",0,E59*VLOOKUP(A59,Tarifs!A$3:E$30,4,FALSE)))</f>
        <v>0</v>
      </c>
      <c r="N59" s="84" t="e">
        <f t="shared" ref="N59:N60" si="10">#REF!-#REF!</f>
        <v>#REF!</v>
      </c>
      <c r="O59" s="84">
        <f>IF(C59=0,0,IF(M$3=0,C59*Tarifs!#REF!,IF(N59&gt;C59*Tarifs!#REF!,C59*Tarifs!#REF!,IF(AND(N59&lt;C59*Tarifs!#REF!,N59&gt;0),N59,0))))</f>
        <v>0</v>
      </c>
      <c r="P59" s="84" t="e">
        <f t="shared" ref="P59:P60" si="11">#REF!-#REF!</f>
        <v>#REF!</v>
      </c>
      <c r="Q59" s="84">
        <f>IF(C59=0,0,IF(P59&gt;C59*Tarifs!#REF!,C59*Tarifs!#REF!,IF(AND(P59&lt;C59*Tarifs!#REF!,P59&gt;0),P59,0)))</f>
        <v>0</v>
      </c>
      <c r="R59" s="84">
        <f t="shared" si="9"/>
        <v>0</v>
      </c>
      <c r="S59" s="68"/>
      <c r="T59" s="68"/>
      <c r="U59" s="68"/>
      <c r="V59" s="68"/>
      <c r="W59" s="68"/>
      <c r="X59" s="68"/>
      <c r="Y59" s="68"/>
      <c r="Z59" s="68"/>
    </row>
    <row r="60" spans="1:26" ht="14.25" customHeight="1" thickBot="1" x14ac:dyDescent="0.3">
      <c r="A60" s="143" t="s">
        <v>31</v>
      </c>
      <c r="B60" s="273"/>
      <c r="C60" s="274"/>
      <c r="D60" s="256"/>
      <c r="E60" s="198"/>
      <c r="F60" s="127" t="s">
        <v>108</v>
      </c>
      <c r="G60" s="127">
        <f>VLOOKUP(A60,Tarifs!A$26:E$30,2,FALSE)</f>
        <v>50</v>
      </c>
      <c r="H60" s="127" t="s">
        <v>109</v>
      </c>
      <c r="I60" s="127">
        <f>IF(E60=0,0,E60*G60)</f>
        <v>0</v>
      </c>
      <c r="J60" s="128" t="s">
        <v>110</v>
      </c>
      <c r="K60" s="127">
        <f>IF(Tarifs!D$93=8,IF(M$3=0,I60,IF(I60+(SUM(K$19:K28,K38:K41,K50,K54:K55,K58,K59))&gt;M$3,M$3-(SUM(K$19:K28,K38:K41,K50,K54:K55,K58,K59)),I60)),I60-M60)</f>
        <v>0</v>
      </c>
      <c r="L60" s="127" t="s">
        <v>109</v>
      </c>
      <c r="M60" s="144">
        <f>IF(Tarifs!D$93=8,I60-K60,IF(A60="",0,E60*VLOOKUP(A60,Tarifs!A$3:E$30,4,FALSE)))</f>
        <v>0</v>
      </c>
      <c r="N60" s="84" t="e">
        <f t="shared" si="10"/>
        <v>#REF!</v>
      </c>
      <c r="O60" s="84">
        <f>IF(C60=0,0,IF(M3=0,C60*Tarifs!#REF!,IF(N60&gt;Tarifs!#REF!,C60*Tarifs!#REF!,IF(AND(N60&lt;C60*Tarifs!#REF!,N60&gt;0),N60,0))))</f>
        <v>0</v>
      </c>
      <c r="P60" s="84" t="e">
        <f t="shared" si="11"/>
        <v>#REF!</v>
      </c>
      <c r="Q60" s="84">
        <f>IF(C60=0,0,IF(P60&gt;Tarifs!#REF!,Tarifs!#REF!,IF(AND(P60&lt;Tarifs!#REF!,P60&gt;0),P60,0)))</f>
        <v>0</v>
      </c>
      <c r="R60" s="84">
        <f t="shared" si="9"/>
        <v>0</v>
      </c>
      <c r="S60" s="68"/>
      <c r="T60" s="68"/>
      <c r="U60" s="68"/>
      <c r="V60" s="68"/>
      <c r="W60" s="68"/>
      <c r="X60" s="68"/>
      <c r="Y60" s="68"/>
      <c r="Z60" s="68"/>
    </row>
    <row r="61" spans="1:26" ht="15" customHeight="1" thickTop="1" x14ac:dyDescent="0.3">
      <c r="A61" s="275" t="s">
        <v>129</v>
      </c>
      <c r="B61" s="249"/>
      <c r="C61" s="249"/>
      <c r="D61" s="249"/>
      <c r="E61" s="249"/>
      <c r="F61" s="249"/>
      <c r="G61" s="249"/>
      <c r="H61" s="239"/>
      <c r="I61" s="103">
        <f>SUM(I50:I60)</f>
        <v>0</v>
      </c>
      <c r="J61" s="114" t="s">
        <v>110</v>
      </c>
      <c r="K61" s="145">
        <f>SUM(K50:K60)</f>
        <v>0</v>
      </c>
      <c r="L61" s="115" t="s">
        <v>109</v>
      </c>
      <c r="M61" s="116">
        <f>SUM(M50:M60)</f>
        <v>0</v>
      </c>
      <c r="N61" s="68"/>
      <c r="O61" s="68"/>
      <c r="P61" s="68"/>
      <c r="Q61" s="68"/>
      <c r="R61" s="68"/>
      <c r="S61" s="68"/>
      <c r="T61" s="68"/>
      <c r="U61" s="68"/>
      <c r="V61" s="68"/>
      <c r="W61" s="68"/>
      <c r="X61" s="68"/>
      <c r="Y61" s="68"/>
      <c r="Z61" s="68"/>
    </row>
    <row r="62" spans="1:26" ht="15" customHeight="1" x14ac:dyDescent="0.25">
      <c r="A62" s="146"/>
      <c r="B62" s="146"/>
      <c r="C62" s="146"/>
      <c r="D62" s="146"/>
      <c r="E62" s="146"/>
      <c r="F62" s="146"/>
      <c r="G62" s="146"/>
      <c r="H62" s="146"/>
      <c r="I62" s="114"/>
      <c r="J62" s="114"/>
      <c r="K62" s="103"/>
      <c r="L62" s="115"/>
      <c r="M62" s="116"/>
      <c r="N62" s="68"/>
      <c r="O62" s="68"/>
      <c r="P62" s="68"/>
      <c r="Q62" s="68"/>
      <c r="R62" s="68"/>
      <c r="S62" s="68"/>
      <c r="T62" s="68"/>
      <c r="U62" s="68"/>
      <c r="V62" s="68"/>
      <c r="W62" s="68"/>
      <c r="X62" s="68"/>
      <c r="Y62" s="68"/>
      <c r="Z62" s="68"/>
    </row>
    <row r="63" spans="1:26" ht="30.75" customHeight="1" x14ac:dyDescent="0.25">
      <c r="A63" s="147" t="s">
        <v>130</v>
      </c>
      <c r="B63" s="148" t="s">
        <v>101</v>
      </c>
      <c r="C63" s="276" t="s">
        <v>124</v>
      </c>
      <c r="D63" s="249"/>
      <c r="E63" s="239"/>
      <c r="F63" s="149"/>
      <c r="G63" s="150" t="s">
        <v>131</v>
      </c>
      <c r="H63" s="149"/>
      <c r="I63" s="277" t="s">
        <v>132</v>
      </c>
      <c r="J63" s="249"/>
      <c r="K63" s="239"/>
      <c r="L63" s="150"/>
      <c r="M63" s="150" t="str">
        <f>IF(Tarifs!$D$93=Tarifs!$B$97,"Payé par l'organisme", "Payé par l'artiste")</f>
        <v>Payé par l'artiste</v>
      </c>
      <c r="N63" s="68"/>
      <c r="O63" s="68"/>
      <c r="P63" s="68"/>
      <c r="Q63" s="68"/>
      <c r="R63" s="68"/>
      <c r="S63" s="68"/>
      <c r="T63" s="68"/>
      <c r="U63" s="68"/>
      <c r="V63" s="68"/>
      <c r="W63" s="68"/>
      <c r="X63" s="68"/>
      <c r="Y63" s="68"/>
      <c r="Z63" s="68"/>
    </row>
    <row r="64" spans="1:26" ht="15" customHeight="1" x14ac:dyDescent="0.25">
      <c r="A64" s="199"/>
      <c r="B64" s="200"/>
      <c r="C64" s="278"/>
      <c r="D64" s="272"/>
      <c r="E64" s="253"/>
      <c r="F64" s="103" t="s">
        <v>108</v>
      </c>
      <c r="G64" s="103">
        <f>IF(A64="",0,VLOOKUP(A64,Tarifs!A85:B89,2,FALSE))</f>
        <v>0</v>
      </c>
      <c r="H64" s="103" t="s">
        <v>109</v>
      </c>
      <c r="I64" s="296">
        <f t="shared" ref="I64:I68" si="12">IF(C64=0,0,C64*G64)</f>
        <v>0</v>
      </c>
      <c r="J64" s="249"/>
      <c r="K64" s="239"/>
      <c r="L64" s="103" t="s">
        <v>109</v>
      </c>
      <c r="M64" s="105">
        <f t="shared" ref="M64:M68" si="13">I64</f>
        <v>0</v>
      </c>
      <c r="N64" s="68"/>
      <c r="O64" s="68"/>
      <c r="P64" s="68"/>
      <c r="Q64" s="68"/>
      <c r="R64" s="68"/>
      <c r="S64" s="68"/>
      <c r="T64" s="68"/>
      <c r="U64" s="68"/>
      <c r="V64" s="68"/>
      <c r="W64" s="68"/>
      <c r="X64" s="68"/>
      <c r="Y64" s="68"/>
      <c r="Z64" s="68"/>
    </row>
    <row r="65" spans="1:26" ht="15" customHeight="1" x14ac:dyDescent="0.25">
      <c r="A65" s="201"/>
      <c r="B65" s="202"/>
      <c r="C65" s="279"/>
      <c r="D65" s="272"/>
      <c r="E65" s="253"/>
      <c r="F65" s="107" t="s">
        <v>108</v>
      </c>
      <c r="G65" s="107">
        <f>IF(A65="",0,VLOOKUP(A65,Tarifs!A$85:B$89,2,FALSE))</f>
        <v>0</v>
      </c>
      <c r="H65" s="107" t="s">
        <v>109</v>
      </c>
      <c r="I65" s="297">
        <f t="shared" si="12"/>
        <v>0</v>
      </c>
      <c r="J65" s="249"/>
      <c r="K65" s="239"/>
      <c r="L65" s="107" t="s">
        <v>109</v>
      </c>
      <c r="M65" s="109">
        <f t="shared" si="13"/>
        <v>0</v>
      </c>
      <c r="N65" s="68"/>
      <c r="O65" s="68"/>
      <c r="P65" s="68"/>
      <c r="Q65" s="68"/>
      <c r="R65" s="68"/>
      <c r="S65" s="68"/>
      <c r="T65" s="68"/>
      <c r="U65" s="68"/>
      <c r="V65" s="68"/>
      <c r="W65" s="68"/>
      <c r="X65" s="68"/>
      <c r="Y65" s="68"/>
      <c r="Z65" s="68"/>
    </row>
    <row r="66" spans="1:26" ht="15" customHeight="1" x14ac:dyDescent="0.25">
      <c r="A66" s="199"/>
      <c r="B66" s="200"/>
      <c r="C66" s="278"/>
      <c r="D66" s="272"/>
      <c r="E66" s="253"/>
      <c r="F66" s="103" t="s">
        <v>108</v>
      </c>
      <c r="G66" s="103">
        <f>IF(A66="",0,VLOOKUP(A66,Tarifs!A$85:B$89,2,FALSE))</f>
        <v>0</v>
      </c>
      <c r="H66" s="103" t="s">
        <v>109</v>
      </c>
      <c r="I66" s="296">
        <f t="shared" si="12"/>
        <v>0</v>
      </c>
      <c r="J66" s="249"/>
      <c r="K66" s="239"/>
      <c r="L66" s="103" t="s">
        <v>109</v>
      </c>
      <c r="M66" s="105">
        <f t="shared" si="13"/>
        <v>0</v>
      </c>
      <c r="N66" s="68"/>
      <c r="O66" s="68"/>
      <c r="P66" s="68"/>
      <c r="Q66" s="68"/>
      <c r="R66" s="68"/>
      <c r="S66" s="68"/>
      <c r="T66" s="68"/>
      <c r="U66" s="68"/>
      <c r="V66" s="68"/>
      <c r="W66" s="68"/>
      <c r="X66" s="68"/>
      <c r="Y66" s="68"/>
      <c r="Z66" s="68"/>
    </row>
    <row r="67" spans="1:26" ht="15" customHeight="1" x14ac:dyDescent="0.25">
      <c r="A67" s="201"/>
      <c r="B67" s="202"/>
      <c r="C67" s="279"/>
      <c r="D67" s="272"/>
      <c r="E67" s="253"/>
      <c r="F67" s="107" t="s">
        <v>108</v>
      </c>
      <c r="G67" s="107">
        <f>IF(A67="",0,VLOOKUP(A67,Tarifs!A$85:B$89,2,FALSE))</f>
        <v>0</v>
      </c>
      <c r="H67" s="107" t="s">
        <v>109</v>
      </c>
      <c r="I67" s="297">
        <f t="shared" si="12"/>
        <v>0</v>
      </c>
      <c r="J67" s="249"/>
      <c r="K67" s="239"/>
      <c r="L67" s="107" t="s">
        <v>109</v>
      </c>
      <c r="M67" s="109">
        <f t="shared" si="13"/>
        <v>0</v>
      </c>
      <c r="N67" s="68"/>
      <c r="O67" s="68"/>
      <c r="P67" s="68"/>
      <c r="Q67" s="68"/>
      <c r="R67" s="68"/>
      <c r="S67" s="68"/>
      <c r="T67" s="68"/>
      <c r="U67" s="68"/>
      <c r="V67" s="68"/>
      <c r="W67" s="68"/>
      <c r="X67" s="68"/>
      <c r="Y67" s="68"/>
      <c r="Z67" s="68"/>
    </row>
    <row r="68" spans="1:26" ht="15" customHeight="1" x14ac:dyDescent="0.25">
      <c r="A68" s="203"/>
      <c r="B68" s="204"/>
      <c r="C68" s="305"/>
      <c r="D68" s="274"/>
      <c r="E68" s="256"/>
      <c r="F68" s="127" t="s">
        <v>108</v>
      </c>
      <c r="G68" s="127">
        <f>IF(A68="",0,VLOOKUP(A68,Tarifs!A$85:B$89,2,FALSE))</f>
        <v>0</v>
      </c>
      <c r="H68" s="127" t="s">
        <v>109</v>
      </c>
      <c r="I68" s="298">
        <f t="shared" si="12"/>
        <v>0</v>
      </c>
      <c r="J68" s="299"/>
      <c r="K68" s="300"/>
      <c r="L68" s="127" t="s">
        <v>109</v>
      </c>
      <c r="M68" s="129">
        <f t="shared" si="13"/>
        <v>0</v>
      </c>
      <c r="N68" s="68"/>
      <c r="O68" s="68"/>
      <c r="P68" s="68"/>
      <c r="Q68" s="68"/>
      <c r="R68" s="68"/>
      <c r="S68" s="68"/>
      <c r="T68" s="68"/>
      <c r="U68" s="68"/>
      <c r="V68" s="68"/>
      <c r="W68" s="68"/>
      <c r="X68" s="68"/>
      <c r="Y68" s="68"/>
      <c r="Z68" s="68"/>
    </row>
    <row r="69" spans="1:26" ht="15" customHeight="1" x14ac:dyDescent="0.3">
      <c r="A69" s="301" t="s">
        <v>133</v>
      </c>
      <c r="B69" s="249"/>
      <c r="C69" s="249"/>
      <c r="D69" s="249"/>
      <c r="E69" s="249"/>
      <c r="F69" s="249"/>
      <c r="G69" s="249"/>
      <c r="H69" s="239"/>
      <c r="I69" s="302">
        <f>SUM(I64:K68)</f>
        <v>0</v>
      </c>
      <c r="J69" s="303"/>
      <c r="K69" s="304"/>
      <c r="L69" s="115" t="s">
        <v>109</v>
      </c>
      <c r="M69" s="116">
        <f>SUM(M64:M68)</f>
        <v>0</v>
      </c>
      <c r="N69" s="68"/>
      <c r="O69" s="68"/>
      <c r="P69" s="68"/>
      <c r="Q69" s="68"/>
      <c r="R69" s="68"/>
      <c r="S69" s="68"/>
      <c r="T69" s="68"/>
      <c r="U69" s="68"/>
      <c r="V69" s="68"/>
      <c r="W69" s="68"/>
      <c r="X69" s="68"/>
      <c r="Y69" s="68"/>
      <c r="Z69" s="68"/>
    </row>
    <row r="70" spans="1:26" ht="15" customHeight="1" x14ac:dyDescent="0.25">
      <c r="A70" s="146"/>
      <c r="B70" s="146"/>
      <c r="C70" s="146"/>
      <c r="D70" s="146"/>
      <c r="E70" s="146"/>
      <c r="F70" s="146"/>
      <c r="G70" s="146"/>
      <c r="H70" s="146"/>
      <c r="I70" s="114"/>
      <c r="J70" s="114"/>
      <c r="K70" s="103"/>
      <c r="L70" s="115"/>
      <c r="M70" s="116"/>
      <c r="N70" s="68"/>
      <c r="O70" s="68"/>
      <c r="P70" s="68"/>
      <c r="Q70" s="68"/>
      <c r="R70" s="68"/>
      <c r="S70" s="68"/>
      <c r="T70" s="68"/>
      <c r="U70" s="68"/>
      <c r="V70" s="68"/>
      <c r="W70" s="68"/>
      <c r="X70" s="68"/>
      <c r="Y70" s="68"/>
      <c r="Z70" s="68"/>
    </row>
    <row r="71" spans="1:26" ht="27" customHeight="1" x14ac:dyDescent="0.25">
      <c r="A71" s="151" t="s">
        <v>134</v>
      </c>
      <c r="B71" s="152" t="s">
        <v>101</v>
      </c>
      <c r="C71" s="306" t="s">
        <v>124</v>
      </c>
      <c r="D71" s="307"/>
      <c r="E71" s="308"/>
      <c r="F71" s="153"/>
      <c r="G71" s="154" t="s">
        <v>131</v>
      </c>
      <c r="H71" s="153"/>
      <c r="I71" s="155" t="s">
        <v>125</v>
      </c>
      <c r="J71" s="154"/>
      <c r="K71" s="154" t="s">
        <v>105</v>
      </c>
      <c r="L71" s="154"/>
      <c r="M71" s="154" t="str">
        <f>IF(Tarifs!$D$93=Tarifs!$B$97,"Payé par l'organisme", "Payé par l'artiste")</f>
        <v>Payé par l'artiste</v>
      </c>
      <c r="N71" s="68"/>
      <c r="O71" s="68"/>
      <c r="P71" s="68"/>
      <c r="Q71" s="68"/>
      <c r="R71" s="68"/>
      <c r="S71" s="68"/>
      <c r="T71" s="68"/>
      <c r="U71" s="68"/>
      <c r="V71" s="68"/>
      <c r="W71" s="68"/>
      <c r="X71" s="68"/>
      <c r="Y71" s="68"/>
      <c r="Z71" s="68"/>
    </row>
    <row r="72" spans="1:26" ht="15" customHeight="1" x14ac:dyDescent="0.25">
      <c r="A72" s="205"/>
      <c r="B72" s="206"/>
      <c r="C72" s="343"/>
      <c r="D72" s="344"/>
      <c r="E72" s="345"/>
      <c r="F72" s="107" t="s">
        <v>108</v>
      </c>
      <c r="G72" s="229">
        <v>0</v>
      </c>
      <c r="H72" s="107" t="s">
        <v>109</v>
      </c>
      <c r="I72" s="107">
        <f t="shared" ref="I72:I74" si="14">IF(C72=0,0,C72*G72)</f>
        <v>0</v>
      </c>
      <c r="J72" s="108" t="s">
        <v>110</v>
      </c>
      <c r="K72" s="229">
        <v>0</v>
      </c>
      <c r="L72" s="107" t="s">
        <v>109</v>
      </c>
      <c r="M72" s="109">
        <f>I72-K72</f>
        <v>0</v>
      </c>
      <c r="N72" s="68"/>
      <c r="O72" s="68"/>
      <c r="P72" s="68"/>
      <c r="Q72" s="68"/>
      <c r="R72" s="68"/>
      <c r="S72" s="68"/>
      <c r="T72" s="68"/>
      <c r="U72" s="68"/>
      <c r="V72" s="68"/>
      <c r="W72" s="68"/>
      <c r="X72" s="68"/>
      <c r="Y72" s="68"/>
      <c r="Z72" s="68"/>
    </row>
    <row r="73" spans="1:26" ht="15" customHeight="1" x14ac:dyDescent="0.25">
      <c r="A73" s="207"/>
      <c r="B73" s="208"/>
      <c r="C73" s="346"/>
      <c r="D73" s="347"/>
      <c r="E73" s="348"/>
      <c r="F73" s="103" t="s">
        <v>108</v>
      </c>
      <c r="G73" s="230">
        <v>0</v>
      </c>
      <c r="H73" s="103" t="s">
        <v>109</v>
      </c>
      <c r="I73" s="103">
        <f t="shared" si="14"/>
        <v>0</v>
      </c>
      <c r="J73" s="104" t="s">
        <v>110</v>
      </c>
      <c r="K73" s="230">
        <v>0</v>
      </c>
      <c r="L73" s="103" t="s">
        <v>109</v>
      </c>
      <c r="M73" s="105">
        <f t="shared" ref="M73:M74" si="15">I73</f>
        <v>0</v>
      </c>
      <c r="N73" s="68"/>
      <c r="O73" s="68"/>
      <c r="P73" s="68"/>
      <c r="Q73" s="68"/>
      <c r="R73" s="68"/>
      <c r="S73" s="68"/>
      <c r="T73" s="84"/>
      <c r="U73" s="68"/>
      <c r="V73" s="68"/>
      <c r="W73" s="68"/>
      <c r="X73" s="68"/>
      <c r="Y73" s="68"/>
      <c r="Z73" s="68"/>
    </row>
    <row r="74" spans="1:26" ht="15" customHeight="1" x14ac:dyDescent="0.25">
      <c r="A74" s="205"/>
      <c r="B74" s="206"/>
      <c r="C74" s="343"/>
      <c r="D74" s="344"/>
      <c r="E74" s="345"/>
      <c r="F74" s="107" t="s">
        <v>108</v>
      </c>
      <c r="G74" s="229">
        <v>0</v>
      </c>
      <c r="H74" s="107" t="s">
        <v>109</v>
      </c>
      <c r="I74" s="107">
        <f t="shared" si="14"/>
        <v>0</v>
      </c>
      <c r="J74" s="108" t="s">
        <v>110</v>
      </c>
      <c r="K74" s="229">
        <v>0</v>
      </c>
      <c r="L74" s="107" t="s">
        <v>109</v>
      </c>
      <c r="M74" s="109">
        <f t="shared" si="15"/>
        <v>0</v>
      </c>
      <c r="N74" s="68"/>
      <c r="O74" s="68"/>
      <c r="P74" s="68"/>
      <c r="Q74" s="68"/>
      <c r="R74" s="68"/>
      <c r="S74" s="68"/>
      <c r="T74" s="68"/>
      <c r="U74" s="68"/>
      <c r="V74" s="68"/>
      <c r="W74" s="68"/>
      <c r="X74" s="68"/>
      <c r="Y74" s="68"/>
      <c r="Z74" s="68"/>
    </row>
    <row r="75" spans="1:26" ht="15" customHeight="1" thickBot="1" x14ac:dyDescent="0.3">
      <c r="A75" s="209"/>
      <c r="B75" s="210"/>
      <c r="C75" s="349"/>
      <c r="D75" s="350"/>
      <c r="E75" s="351"/>
      <c r="F75" s="156" t="s">
        <v>108</v>
      </c>
      <c r="G75" s="231">
        <v>0</v>
      </c>
      <c r="H75" s="156" t="s">
        <v>109</v>
      </c>
      <c r="I75" s="156">
        <f t="shared" ref="I75" si="16">IF(C75=0,0,C75*G75)</f>
        <v>0</v>
      </c>
      <c r="J75" s="157" t="s">
        <v>110</v>
      </c>
      <c r="K75" s="231">
        <v>0</v>
      </c>
      <c r="L75" s="156" t="s">
        <v>109</v>
      </c>
      <c r="M75" s="144">
        <f t="shared" ref="M75" si="17">I75</f>
        <v>0</v>
      </c>
      <c r="N75" s="68"/>
      <c r="O75" s="68"/>
      <c r="P75" s="68"/>
      <c r="Q75" s="68"/>
      <c r="R75" s="68"/>
      <c r="S75" s="68"/>
      <c r="T75" s="68"/>
      <c r="U75" s="68"/>
      <c r="V75" s="68"/>
      <c r="W75" s="68"/>
      <c r="X75" s="68"/>
      <c r="Y75" s="68"/>
      <c r="Z75" s="68"/>
    </row>
    <row r="76" spans="1:26" ht="15" customHeight="1" thickTop="1" x14ac:dyDescent="0.3">
      <c r="A76" s="309" t="s">
        <v>135</v>
      </c>
      <c r="B76" s="249"/>
      <c r="C76" s="249"/>
      <c r="D76" s="249"/>
      <c r="E76" s="249"/>
      <c r="F76" s="249"/>
      <c r="G76" s="249"/>
      <c r="H76" s="239"/>
      <c r="I76" s="114">
        <f>SUM(I72:I75)</f>
        <v>0</v>
      </c>
      <c r="J76" s="114" t="s">
        <v>110</v>
      </c>
      <c r="K76" s="145">
        <f>SUM(K72:K75)</f>
        <v>0</v>
      </c>
      <c r="L76" s="115" t="s">
        <v>109</v>
      </c>
      <c r="M76" s="116">
        <f>SUM(M72:M75)</f>
        <v>0</v>
      </c>
      <c r="N76" s="68"/>
      <c r="O76" s="68"/>
      <c r="P76" s="68"/>
      <c r="Q76" s="68"/>
      <c r="R76" s="68"/>
      <c r="S76" s="68"/>
      <c r="T76" s="68"/>
      <c r="U76" s="68"/>
      <c r="V76" s="68"/>
      <c r="W76" s="68"/>
      <c r="X76" s="68"/>
      <c r="Y76" s="68"/>
      <c r="Z76" s="68"/>
    </row>
    <row r="77" spans="1:26" ht="15" customHeight="1" x14ac:dyDescent="0.25">
      <c r="A77" s="146"/>
      <c r="B77" s="146"/>
      <c r="C77" s="146"/>
      <c r="D77" s="146"/>
      <c r="E77" s="146"/>
      <c r="F77" s="146"/>
      <c r="G77" s="146"/>
      <c r="H77" s="146"/>
      <c r="I77" s="114"/>
      <c r="J77" s="114"/>
      <c r="K77" s="103"/>
      <c r="L77" s="115"/>
      <c r="M77" s="116"/>
      <c r="N77" s="68"/>
      <c r="O77" s="68"/>
      <c r="P77" s="68"/>
      <c r="Q77" s="68"/>
      <c r="R77" s="68"/>
      <c r="S77" s="68"/>
      <c r="T77" s="68"/>
      <c r="U77" s="68"/>
      <c r="V77" s="68"/>
      <c r="W77" s="68"/>
      <c r="X77" s="68"/>
      <c r="Y77" s="68"/>
      <c r="Z77" s="68"/>
    </row>
    <row r="78" spans="1:26" ht="27" customHeight="1" x14ac:dyDescent="0.25">
      <c r="A78" s="158" t="s">
        <v>144</v>
      </c>
      <c r="B78" s="159" t="s">
        <v>101</v>
      </c>
      <c r="C78" s="313" t="str">
        <f>IF(Tarifs!$D$93=Tarifs!$B$97,"Sous-total payé par l'organisme", "Sous-total payé par l'artiste")</f>
        <v>Sous-total payé par l'artiste</v>
      </c>
      <c r="D78" s="249"/>
      <c r="E78" s="239"/>
      <c r="F78" s="160"/>
      <c r="G78" s="161" t="s">
        <v>146</v>
      </c>
      <c r="H78" s="160"/>
      <c r="I78" s="327" t="s">
        <v>147</v>
      </c>
      <c r="J78" s="327"/>
      <c r="K78" s="327"/>
      <c r="L78" s="161"/>
      <c r="M78" s="161" t="str">
        <f>IF(Tarifs!$D$93=Tarifs!$B$97,"Payé par l'organisme", "Payé par l'artiste")</f>
        <v>Payé par l'artiste</v>
      </c>
      <c r="N78" s="68"/>
      <c r="O78" s="68"/>
      <c r="P78" s="68"/>
      <c r="Q78" s="68"/>
      <c r="R78" s="68"/>
      <c r="S78" s="68"/>
      <c r="T78" s="68"/>
      <c r="U78" s="68"/>
      <c r="V78" s="68"/>
      <c r="W78" s="68"/>
      <c r="X78" s="68"/>
      <c r="Y78" s="68"/>
      <c r="Z78" s="68"/>
    </row>
    <row r="79" spans="1:26" ht="15" customHeight="1" thickBot="1" x14ac:dyDescent="0.3">
      <c r="A79" s="330" t="s">
        <v>143</v>
      </c>
      <c r="B79" s="331"/>
      <c r="C79" s="314">
        <f>M90</f>
        <v>0</v>
      </c>
      <c r="D79" s="315"/>
      <c r="E79" s="316"/>
      <c r="F79" s="162" t="s">
        <v>108</v>
      </c>
      <c r="G79" s="163">
        <v>0.1</v>
      </c>
      <c r="H79" s="127" t="s">
        <v>109</v>
      </c>
      <c r="I79" s="328">
        <f>IF(C79=0,0,C79*G79)</f>
        <v>0</v>
      </c>
      <c r="J79" s="328"/>
      <c r="K79" s="328"/>
      <c r="L79" s="127" t="s">
        <v>109</v>
      </c>
      <c r="M79" s="129">
        <f>I79</f>
        <v>0</v>
      </c>
      <c r="N79" s="68"/>
      <c r="O79" s="68"/>
      <c r="P79" s="68"/>
      <c r="Q79" s="68"/>
      <c r="R79" s="68"/>
      <c r="S79" s="68"/>
      <c r="T79" s="68"/>
      <c r="U79" s="68"/>
      <c r="V79" s="68"/>
      <c r="W79" s="68"/>
      <c r="X79" s="68"/>
      <c r="Y79" s="68"/>
      <c r="Z79" s="68"/>
    </row>
    <row r="80" spans="1:26" ht="15" customHeight="1" thickTop="1" x14ac:dyDescent="0.3">
      <c r="A80" s="309" t="s">
        <v>145</v>
      </c>
      <c r="B80" s="249"/>
      <c r="C80" s="249"/>
      <c r="D80" s="249"/>
      <c r="E80" s="249"/>
      <c r="F80" s="249"/>
      <c r="G80" s="249"/>
      <c r="H80" s="239"/>
      <c r="I80" s="329">
        <f>SUM(I76:I79)</f>
        <v>0</v>
      </c>
      <c r="J80" s="329"/>
      <c r="K80" s="329"/>
      <c r="L80" s="115" t="s">
        <v>109</v>
      </c>
      <c r="M80" s="116">
        <f>SUM(M76:M79)</f>
        <v>0</v>
      </c>
      <c r="N80" s="68"/>
      <c r="O80" s="68"/>
      <c r="P80" s="68"/>
      <c r="Q80" s="68"/>
      <c r="R80" s="68"/>
      <c r="S80" s="68"/>
      <c r="T80" s="68"/>
      <c r="U80" s="68"/>
      <c r="V80" s="68"/>
      <c r="W80" s="68"/>
      <c r="X80" s="68"/>
      <c r="Y80" s="68"/>
      <c r="Z80" s="68"/>
    </row>
    <row r="81" spans="1:26" ht="15" customHeight="1" thickBot="1" x14ac:dyDescent="0.3">
      <c r="A81" s="117"/>
      <c r="B81" s="117"/>
      <c r="C81" s="68"/>
      <c r="D81" s="68"/>
      <c r="E81" s="68"/>
      <c r="F81" s="68"/>
      <c r="G81" s="68"/>
      <c r="H81" s="68"/>
      <c r="I81" s="164"/>
      <c r="J81" s="164"/>
      <c r="K81" s="68"/>
      <c r="L81" s="68"/>
      <c r="M81" s="68"/>
      <c r="N81" s="68"/>
      <c r="O81" s="68"/>
      <c r="P81" s="68"/>
      <c r="Q81" s="68"/>
      <c r="R81" s="68"/>
      <c r="S81" s="68"/>
      <c r="T81" s="68"/>
      <c r="U81" s="68"/>
      <c r="V81" s="68"/>
      <c r="W81" s="68"/>
      <c r="X81" s="68"/>
      <c r="Y81" s="68"/>
      <c r="Z81" s="68"/>
    </row>
    <row r="82" spans="1:26" ht="15" customHeight="1" x14ac:dyDescent="0.25">
      <c r="A82" s="312" t="s">
        <v>136</v>
      </c>
      <c r="B82" s="165"/>
      <c r="C82" s="166"/>
      <c r="D82" s="166"/>
      <c r="E82" s="166"/>
      <c r="F82" s="166"/>
      <c r="G82" s="166"/>
      <c r="H82" s="166"/>
      <c r="I82" s="339" t="s">
        <v>137</v>
      </c>
      <c r="J82" s="167"/>
      <c r="K82" s="340" t="s">
        <v>105</v>
      </c>
      <c r="L82" s="342"/>
      <c r="M82" s="339" t="str">
        <f>IF(Tarifs!$D$93=Tarifs!$B$97,"Payé par l'organisme", "Payé par l'artiste")</f>
        <v>Payé par l'artiste</v>
      </c>
      <c r="N82" s="68"/>
      <c r="O82" s="68"/>
      <c r="P82" s="68"/>
      <c r="Q82" s="68"/>
      <c r="R82" s="68"/>
      <c r="S82" s="68"/>
      <c r="T82" s="68"/>
      <c r="U82" s="68"/>
      <c r="V82" s="68"/>
      <c r="W82" s="68"/>
      <c r="X82" s="68"/>
      <c r="Y82" s="68"/>
      <c r="Z82" s="68"/>
    </row>
    <row r="83" spans="1:26" ht="15" customHeight="1" x14ac:dyDescent="0.25">
      <c r="A83" s="237"/>
      <c r="B83" s="165"/>
      <c r="C83" s="166"/>
      <c r="D83" s="166"/>
      <c r="E83" s="166"/>
      <c r="F83" s="166"/>
      <c r="G83" s="166"/>
      <c r="H83" s="166"/>
      <c r="I83" s="237"/>
      <c r="J83" s="167"/>
      <c r="K83" s="341"/>
      <c r="L83" s="237"/>
      <c r="M83" s="237" t="str">
        <f>IF(Tarifs!$D$93=Tarifs!$B$97,"Payé par l'organisme", "Payé par l'artiste")</f>
        <v>Payé par l'artiste</v>
      </c>
      <c r="N83" s="68"/>
      <c r="O83" s="68"/>
      <c r="P83" s="68"/>
      <c r="Q83" s="68"/>
      <c r="R83" s="68"/>
      <c r="S83" s="68"/>
      <c r="T83" s="68"/>
      <c r="U83" s="68"/>
      <c r="V83" s="68"/>
      <c r="W83" s="68"/>
      <c r="X83" s="68"/>
      <c r="Y83" s="68"/>
      <c r="Z83" s="68"/>
    </row>
    <row r="84" spans="1:26" ht="15" customHeight="1" x14ac:dyDescent="0.25">
      <c r="A84" s="310" t="str">
        <f>A9</f>
        <v>LOCATION D'ÉQUIPEMENTS DE TOURNAGE</v>
      </c>
      <c r="B84" s="249"/>
      <c r="C84" s="249"/>
      <c r="D84" s="249"/>
      <c r="E84" s="249"/>
      <c r="F84" s="249"/>
      <c r="G84" s="239"/>
      <c r="H84" s="168"/>
      <c r="I84" s="103">
        <f>I19</f>
        <v>0</v>
      </c>
      <c r="J84" s="104" t="s">
        <v>110</v>
      </c>
      <c r="K84" s="169">
        <f>K19</f>
        <v>0</v>
      </c>
      <c r="L84" s="104" t="s">
        <v>109</v>
      </c>
      <c r="M84" s="103">
        <f>M19</f>
        <v>0</v>
      </c>
      <c r="N84" s="68"/>
      <c r="O84" s="68"/>
      <c r="P84" s="68"/>
      <c r="Q84" s="68"/>
      <c r="R84" s="68"/>
      <c r="S84" s="68"/>
      <c r="T84" s="68"/>
      <c r="U84" s="68"/>
      <c r="V84" s="68"/>
      <c r="W84" s="68"/>
      <c r="X84" s="68"/>
      <c r="Y84" s="68"/>
      <c r="Z84" s="68"/>
    </row>
    <row r="85" spans="1:26" ht="15" customHeight="1" x14ac:dyDescent="0.25">
      <c r="A85" s="310" t="str">
        <f>A21</f>
        <v>POSTPRODUCTION IMAGE</v>
      </c>
      <c r="B85" s="249"/>
      <c r="C85" s="249"/>
      <c r="D85" s="249"/>
      <c r="E85" s="249"/>
      <c r="F85" s="249"/>
      <c r="G85" s="239"/>
      <c r="H85" s="168"/>
      <c r="I85" s="103">
        <f>I34</f>
        <v>0</v>
      </c>
      <c r="J85" s="104" t="s">
        <v>110</v>
      </c>
      <c r="K85" s="169">
        <f>K34</f>
        <v>0</v>
      </c>
      <c r="L85" s="104" t="s">
        <v>109</v>
      </c>
      <c r="M85" s="103">
        <f>M34</f>
        <v>0</v>
      </c>
      <c r="N85" s="68"/>
      <c r="O85" s="68"/>
      <c r="P85" s="68"/>
      <c r="Q85" s="68"/>
      <c r="R85" s="68"/>
      <c r="S85" s="68"/>
      <c r="T85" s="68"/>
      <c r="U85" s="68"/>
      <c r="V85" s="68"/>
      <c r="W85" s="68"/>
      <c r="X85" s="68"/>
      <c r="Y85" s="68"/>
      <c r="Z85" s="68"/>
    </row>
    <row r="86" spans="1:26" ht="21" customHeight="1" x14ac:dyDescent="0.25">
      <c r="A86" s="310" t="str">
        <f>A36</f>
        <v>POSTPRODUCTION SONORE</v>
      </c>
      <c r="B86" s="249"/>
      <c r="C86" s="249"/>
      <c r="D86" s="249"/>
      <c r="E86" s="249"/>
      <c r="F86" s="249"/>
      <c r="G86" s="239"/>
      <c r="H86" s="168"/>
      <c r="I86" s="103">
        <f>I46</f>
        <v>0</v>
      </c>
      <c r="J86" s="104" t="s">
        <v>110</v>
      </c>
      <c r="K86" s="169">
        <f>K46</f>
        <v>0</v>
      </c>
      <c r="L86" s="104" t="s">
        <v>109</v>
      </c>
      <c r="M86" s="103">
        <f>M46</f>
        <v>0</v>
      </c>
      <c r="N86" s="68"/>
      <c r="O86" s="68"/>
      <c r="P86" s="68"/>
      <c r="Q86" s="68"/>
      <c r="R86" s="68"/>
      <c r="S86" s="68"/>
      <c r="T86" s="68"/>
      <c r="U86" s="68"/>
      <c r="V86" s="68"/>
      <c r="W86" s="68"/>
      <c r="X86" s="68"/>
      <c r="Y86" s="68"/>
      <c r="Z86" s="68"/>
    </row>
    <row r="87" spans="1:26" ht="14.25" customHeight="1" x14ac:dyDescent="0.25">
      <c r="A87" s="310" t="str">
        <f>A48&amp;" &amp; DCP"</f>
        <v>TRANSFERTS &amp; DCP</v>
      </c>
      <c r="B87" s="249"/>
      <c r="C87" s="249"/>
      <c r="D87" s="249"/>
      <c r="E87" s="249"/>
      <c r="F87" s="249"/>
      <c r="G87" s="239"/>
      <c r="H87" s="168"/>
      <c r="I87" s="103">
        <f>I61</f>
        <v>0</v>
      </c>
      <c r="J87" s="104" t="s">
        <v>110</v>
      </c>
      <c r="K87" s="169">
        <f>K61</f>
        <v>0</v>
      </c>
      <c r="L87" s="104" t="s">
        <v>109</v>
      </c>
      <c r="M87" s="103">
        <f>M61</f>
        <v>0</v>
      </c>
      <c r="N87" s="68"/>
      <c r="O87" s="68"/>
      <c r="P87" s="68"/>
      <c r="Q87" s="68"/>
      <c r="R87" s="68"/>
      <c r="S87" s="68"/>
      <c r="T87" s="68"/>
      <c r="U87" s="68"/>
      <c r="V87" s="68"/>
      <c r="W87" s="68"/>
      <c r="X87" s="68"/>
      <c r="Y87" s="68"/>
      <c r="Z87" s="68"/>
    </row>
    <row r="88" spans="1:26" ht="14.25" customHeight="1" x14ac:dyDescent="0.25">
      <c r="A88" s="170" t="str">
        <f>A63</f>
        <v>SUPPORTS NUMÉRIQUES</v>
      </c>
      <c r="B88" s="170"/>
      <c r="C88" s="170"/>
      <c r="D88" s="170"/>
      <c r="E88" s="170"/>
      <c r="F88" s="170"/>
      <c r="G88" s="170"/>
      <c r="H88" s="168"/>
      <c r="I88" s="103">
        <f>I69</f>
        <v>0</v>
      </c>
      <c r="J88" s="104" t="s">
        <v>110</v>
      </c>
      <c r="K88" s="169">
        <f>K69</f>
        <v>0</v>
      </c>
      <c r="L88" s="104" t="s">
        <v>109</v>
      </c>
      <c r="M88" s="103">
        <f>M69</f>
        <v>0</v>
      </c>
      <c r="N88" s="68"/>
      <c r="O88" s="68"/>
      <c r="P88" s="68"/>
      <c r="Q88" s="68"/>
      <c r="R88" s="68"/>
      <c r="S88" s="68"/>
      <c r="T88" s="68"/>
      <c r="U88" s="68"/>
      <c r="V88" s="68"/>
      <c r="W88" s="68"/>
      <c r="X88" s="68"/>
      <c r="Y88" s="68"/>
      <c r="Z88" s="68"/>
    </row>
    <row r="89" spans="1:26" ht="14.25" customHeight="1" thickBot="1" x14ac:dyDescent="0.3">
      <c r="A89" s="171" t="s">
        <v>134</v>
      </c>
      <c r="B89" s="171"/>
      <c r="C89" s="171"/>
      <c r="D89" s="171"/>
      <c r="E89" s="171"/>
      <c r="F89" s="171"/>
      <c r="G89" s="171"/>
      <c r="H89" s="172"/>
      <c r="I89" s="156">
        <f>I76</f>
        <v>0</v>
      </c>
      <c r="J89" s="157" t="s">
        <v>110</v>
      </c>
      <c r="K89" s="173">
        <f>K76</f>
        <v>0</v>
      </c>
      <c r="L89" s="157" t="s">
        <v>109</v>
      </c>
      <c r="M89" s="156">
        <f>M76</f>
        <v>0</v>
      </c>
      <c r="N89" s="68"/>
      <c r="O89" s="68"/>
      <c r="P89" s="68"/>
      <c r="Q89" s="68"/>
      <c r="R89" s="68"/>
      <c r="S89" s="68"/>
      <c r="T89" s="68"/>
      <c r="U89" s="68"/>
      <c r="V89" s="68"/>
      <c r="W89" s="68"/>
      <c r="X89" s="68"/>
      <c r="Y89" s="68"/>
      <c r="Z89" s="68"/>
    </row>
    <row r="90" spans="1:26" ht="14.25" customHeight="1" thickTop="1" x14ac:dyDescent="0.25">
      <c r="A90" s="332" t="s">
        <v>149</v>
      </c>
      <c r="B90" s="332"/>
      <c r="C90" s="332"/>
      <c r="D90" s="332"/>
      <c r="E90" s="332"/>
      <c r="F90" s="332"/>
      <c r="G90" s="332"/>
      <c r="H90" s="174"/>
      <c r="I90" s="175">
        <f>SUM(I84:I89)</f>
        <v>0</v>
      </c>
      <c r="J90" s="176"/>
      <c r="K90" s="177">
        <f>SUM(K84:K89)</f>
        <v>0</v>
      </c>
      <c r="L90" s="176"/>
      <c r="M90" s="175">
        <f>SUM((M84:M89))</f>
        <v>0</v>
      </c>
      <c r="N90" s="68"/>
      <c r="O90" s="68"/>
      <c r="P90" s="68"/>
      <c r="Q90" s="68"/>
      <c r="R90" s="68"/>
      <c r="S90" s="68"/>
      <c r="T90" s="68"/>
      <c r="U90" s="68"/>
      <c r="V90" s="68"/>
      <c r="W90" s="68"/>
      <c r="X90" s="68"/>
      <c r="Y90" s="68"/>
      <c r="Z90" s="68"/>
    </row>
    <row r="91" spans="1:26" ht="14.25" customHeight="1" thickBot="1" x14ac:dyDescent="0.3">
      <c r="A91" s="178" t="s">
        <v>148</v>
      </c>
      <c r="B91" s="178"/>
      <c r="C91" s="178"/>
      <c r="D91" s="178"/>
      <c r="E91" s="178"/>
      <c r="F91" s="178"/>
      <c r="G91" s="178"/>
      <c r="H91" s="179"/>
      <c r="I91" s="127">
        <f>I80</f>
        <v>0</v>
      </c>
      <c r="J91" s="128" t="s">
        <v>110</v>
      </c>
      <c r="K91" s="180">
        <f>K77</f>
        <v>0</v>
      </c>
      <c r="L91" s="128" t="s">
        <v>109</v>
      </c>
      <c r="M91" s="127">
        <f>I91-K91</f>
        <v>0</v>
      </c>
      <c r="N91" s="68"/>
      <c r="O91" s="68"/>
      <c r="P91" s="68"/>
      <c r="Q91" s="68"/>
      <c r="R91" s="68"/>
      <c r="S91" s="68"/>
      <c r="T91" s="68"/>
      <c r="U91" s="68"/>
      <c r="V91" s="68"/>
      <c r="W91" s="68"/>
      <c r="X91" s="68"/>
      <c r="Y91" s="68"/>
      <c r="Z91" s="68"/>
    </row>
    <row r="92" spans="1:26" ht="14.25" customHeight="1" thickTop="1" thickBot="1" x14ac:dyDescent="0.3">
      <c r="A92" s="311" t="s">
        <v>136</v>
      </c>
      <c r="B92" s="249"/>
      <c r="C92" s="249"/>
      <c r="D92" s="249"/>
      <c r="E92" s="249"/>
      <c r="F92" s="249"/>
      <c r="G92" s="239"/>
      <c r="H92" s="181"/>
      <c r="I92" s="182">
        <f>SUM(I90:I91)</f>
        <v>0</v>
      </c>
      <c r="J92" s="182" t="s">
        <v>110</v>
      </c>
      <c r="K92" s="183">
        <f>SUM(K90:K91)</f>
        <v>0</v>
      </c>
      <c r="L92" s="182" t="s">
        <v>109</v>
      </c>
      <c r="M92" s="105">
        <f>SUM(M90:M91)</f>
        <v>0</v>
      </c>
      <c r="N92" s="68"/>
      <c r="O92" s="68"/>
      <c r="P92" s="68"/>
      <c r="Q92" s="68"/>
      <c r="R92" s="68"/>
      <c r="S92" s="68"/>
      <c r="T92" s="68"/>
      <c r="U92" s="68"/>
      <c r="V92" s="68"/>
      <c r="W92" s="68"/>
      <c r="X92" s="68"/>
      <c r="Y92" s="68"/>
      <c r="Z92" s="68"/>
    </row>
    <row r="93" spans="1:26" ht="14.25" customHeight="1" x14ac:dyDescent="0.25">
      <c r="A93" s="68"/>
      <c r="B93" s="68"/>
      <c r="C93" s="68"/>
      <c r="D93" s="68"/>
      <c r="E93" s="68"/>
      <c r="F93" s="68"/>
      <c r="G93" s="235"/>
      <c r="H93" s="235"/>
      <c r="I93" s="235"/>
      <c r="J93" s="235"/>
      <c r="K93" s="235"/>
      <c r="L93" s="235"/>
      <c r="M93" s="235"/>
      <c r="N93" s="68"/>
      <c r="O93" s="68"/>
      <c r="P93" s="68"/>
      <c r="Q93" s="68"/>
      <c r="R93" s="68"/>
      <c r="S93" s="68"/>
      <c r="T93" s="68"/>
      <c r="U93" s="84"/>
      <c r="V93" s="68"/>
      <c r="W93" s="68"/>
      <c r="X93" s="68"/>
      <c r="Y93" s="68"/>
      <c r="Z93" s="68"/>
    </row>
    <row r="94" spans="1:26" ht="14.25"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row r="1001" spans="1:26" ht="14.25" customHeight="1" x14ac:dyDescent="0.25">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c r="Y1001" s="68"/>
      <c r="Z1001" s="68"/>
    </row>
    <row r="1002" spans="1:26" ht="14.25" customHeight="1" x14ac:dyDescent="0.25">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c r="Y1002" s="68"/>
      <c r="Z1002" s="68"/>
    </row>
    <row r="1003" spans="1:26" ht="14.25" customHeight="1" x14ac:dyDescent="0.25">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c r="Y1003" s="68"/>
      <c r="Z1003" s="68"/>
    </row>
    <row r="1004" spans="1:26" ht="14.25" customHeight="1" x14ac:dyDescent="0.25">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row>
    <row r="1005" spans="1:26" ht="14.25" customHeight="1" x14ac:dyDescent="0.25">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c r="Y1005" s="68"/>
      <c r="Z1005" s="68"/>
    </row>
    <row r="1006" spans="1:26" ht="14.25" customHeight="1" x14ac:dyDescent="0.25">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c r="Y1006" s="68"/>
      <c r="Z1006" s="68"/>
    </row>
  </sheetData>
  <sheetProtection sheet="1" objects="1" scenarios="1" selectLockedCells="1"/>
  <mergeCells count="127">
    <mergeCell ref="I78:K78"/>
    <mergeCell ref="I79:K79"/>
    <mergeCell ref="I80:K80"/>
    <mergeCell ref="A79:B79"/>
    <mergeCell ref="A90:G90"/>
    <mergeCell ref="L56:L57"/>
    <mergeCell ref="M56:M57"/>
    <mergeCell ref="B54:D54"/>
    <mergeCell ref="B55:D55"/>
    <mergeCell ref="A56:A57"/>
    <mergeCell ref="B56:B57"/>
    <mergeCell ref="C56:C57"/>
    <mergeCell ref="E56:E57"/>
    <mergeCell ref="F56:F57"/>
    <mergeCell ref="I82:I83"/>
    <mergeCell ref="K82:K83"/>
    <mergeCell ref="L82:L83"/>
    <mergeCell ref="M82:M83"/>
    <mergeCell ref="A84:G84"/>
    <mergeCell ref="A85:G85"/>
    <mergeCell ref="C72:E72"/>
    <mergeCell ref="C73:E73"/>
    <mergeCell ref="C74:E74"/>
    <mergeCell ref="C75:E75"/>
    <mergeCell ref="A52:A53"/>
    <mergeCell ref="B52:D53"/>
    <mergeCell ref="E52:E53"/>
    <mergeCell ref="G52:G53"/>
    <mergeCell ref="G56:G57"/>
    <mergeCell ref="H56:H57"/>
    <mergeCell ref="I56:I57"/>
    <mergeCell ref="J56:J57"/>
    <mergeCell ref="K56:K57"/>
    <mergeCell ref="I36:I37"/>
    <mergeCell ref="K36:K37"/>
    <mergeCell ref="M36:M37"/>
    <mergeCell ref="C38:D38"/>
    <mergeCell ref="C39:D39"/>
    <mergeCell ref="I48:I49"/>
    <mergeCell ref="K48:K49"/>
    <mergeCell ref="M48:M49"/>
    <mergeCell ref="I52:I53"/>
    <mergeCell ref="K52:K53"/>
    <mergeCell ref="M52:M53"/>
    <mergeCell ref="B48:D49"/>
    <mergeCell ref="B50:D50"/>
    <mergeCell ref="B51:D51"/>
    <mergeCell ref="A76:H76"/>
    <mergeCell ref="A86:G86"/>
    <mergeCell ref="A87:G87"/>
    <mergeCell ref="A92:G92"/>
    <mergeCell ref="A82:A83"/>
    <mergeCell ref="C78:E78"/>
    <mergeCell ref="C79:E79"/>
    <mergeCell ref="A80:H80"/>
    <mergeCell ref="C66:E66"/>
    <mergeCell ref="I66:K66"/>
    <mergeCell ref="C67:E67"/>
    <mergeCell ref="I67:K67"/>
    <mergeCell ref="I68:K68"/>
    <mergeCell ref="A69:H69"/>
    <mergeCell ref="I69:K69"/>
    <mergeCell ref="C68:E68"/>
    <mergeCell ref="C71:E71"/>
    <mergeCell ref="I64:K64"/>
    <mergeCell ref="I65:K65"/>
    <mergeCell ref="B59:D59"/>
    <mergeCell ref="B60:D60"/>
    <mergeCell ref="A61:H61"/>
    <mergeCell ref="C63:E63"/>
    <mergeCell ref="I63:K63"/>
    <mergeCell ref="C64:E64"/>
    <mergeCell ref="C65:E65"/>
    <mergeCell ref="B31:D31"/>
    <mergeCell ref="B32:D32"/>
    <mergeCell ref="B33:D33"/>
    <mergeCell ref="A34:H34"/>
    <mergeCell ref="C40:D40"/>
    <mergeCell ref="C41:D41"/>
    <mergeCell ref="B43:D43"/>
    <mergeCell ref="B44:D44"/>
    <mergeCell ref="A46:H46"/>
    <mergeCell ref="B45:D45"/>
    <mergeCell ref="A48:A49"/>
    <mergeCell ref="E48:E49"/>
    <mergeCell ref="G48:G49"/>
    <mergeCell ref="B36:B37"/>
    <mergeCell ref="C36:D37"/>
    <mergeCell ref="E36:E37"/>
    <mergeCell ref="G36:G37"/>
    <mergeCell ref="C21:D22"/>
    <mergeCell ref="C23:D23"/>
    <mergeCell ref="C24:D24"/>
    <mergeCell ref="C25:D25"/>
    <mergeCell ref="C26:D26"/>
    <mergeCell ref="C27:D27"/>
    <mergeCell ref="B30:D30"/>
    <mergeCell ref="C28:E28"/>
    <mergeCell ref="C11:D11"/>
    <mergeCell ref="C12:D12"/>
    <mergeCell ref="C13:D13"/>
    <mergeCell ref="C14:D14"/>
    <mergeCell ref="E21:E22"/>
    <mergeCell ref="G93:M93"/>
    <mergeCell ref="I9:I10"/>
    <mergeCell ref="K9:K10"/>
    <mergeCell ref="K3:L3"/>
    <mergeCell ref="K4:L4"/>
    <mergeCell ref="A5:B8"/>
    <mergeCell ref="G5:M5"/>
    <mergeCell ref="G6:M6"/>
    <mergeCell ref="A9:A10"/>
    <mergeCell ref="B9:B10"/>
    <mergeCell ref="M9:M10"/>
    <mergeCell ref="C9:E9"/>
    <mergeCell ref="G9:G10"/>
    <mergeCell ref="C10:D10"/>
    <mergeCell ref="G21:G22"/>
    <mergeCell ref="I21:I22"/>
    <mergeCell ref="K21:K22"/>
    <mergeCell ref="M21:M22"/>
    <mergeCell ref="C15:D15"/>
    <mergeCell ref="C16:D16"/>
    <mergeCell ref="C17:D17"/>
    <mergeCell ref="C18:D18"/>
    <mergeCell ref="A19:H19"/>
    <mergeCell ref="B21:B22"/>
  </mergeCells>
  <dataValidations count="8">
    <dataValidation type="list" allowBlank="1" showInputMessage="1" showErrorMessage="1" prompt="Techniciens - Si vous avez besoins de techniciens de PRIM, choisissez dans la liste déroulante. _x000a_Les honoraires des techniciens ne sont pas couverts par les programmes d'aide." sqref="A30:A33" xr:uid="{00000000-0002-0000-0100-000000000000}">
      <formula1>Techs_image</formula1>
    </dataValidation>
    <dataValidation type="list" allowBlank="1" showInputMessage="1" showErrorMessage="1" prompt="Supports - Choisissez dans la liste déroulante les supports nécessaires. Les supports ne sont pas couverts par les programmes d'aide et sont toujours à la charge de l'artiste" sqref="A64:A68" xr:uid="{00000000-0002-0000-0100-000001000000}">
      <formula1>Supports</formula1>
    </dataValidation>
    <dataValidation type="list" allowBlank="1" showInputMessage="1" showErrorMessage="1" prompt="Durée de location - Choisissez dans la liste déroulante si vous souhaitez louer l'équipement au tarif journée, fin de semaine, semaine, au mois." sqref="E11:E18" xr:uid="{00000000-0002-0000-0100-000002000000}">
      <formula1>UNIT_Tournage</formula1>
    </dataValidation>
    <dataValidation type="decimal" allowBlank="1" showInputMessage="1" showErrorMessage="1" prompt="Minutes - Indiquez la durée du film en minutes (ex : pour 1h35, indiquez 95)" sqref="G4" xr:uid="{00000000-0002-0000-0100-000003000000}">
      <formula1>0</formula1>
      <formula2>999</formula2>
    </dataValidation>
    <dataValidation type="list" allowBlank="1" showInputMessage="1" showErrorMessage="1" prompt="Postproduction image - Choisissez l'équipement souhaité dans la liste déroulante et indiquez ensuite dans les colonnes suivantes la durée de la location" sqref="A23:A27" xr:uid="{00000000-0002-0000-0100-000004000000}">
      <formula1>EQUIP_PPI</formula1>
    </dataValidation>
    <dataValidation type="list" allowBlank="1" showInputMessage="1" showErrorMessage="1" prompt="Postproduction sonore - Choisissez l'équipement souhaité dans la liste déroulante et indiquez ensuite dans les colonnes suivantes la durée de la location" sqref="A38:A41" xr:uid="{00000000-0002-0000-0100-000005000000}">
      <formula1>EQUIP_PPS</formula1>
    </dataValidation>
    <dataValidation type="list" allowBlank="1" showInputMessage="1" showErrorMessage="1" prompt="Équipements de tournage - Choisissez l'équipement souhaité dans la liste déroulante et indiquez ensuite dans les colonnes suivante la durée de la location" sqref="A11:A18" xr:uid="{00000000-0002-0000-0100-000006000000}">
      <formula1>EQUIP_TOURNAGE</formula1>
    </dataValidation>
    <dataValidation type="list" allowBlank="1" showInputMessage="1" showErrorMessage="1" prompt="Techniciens - Si vous avez besoins de techniciens de PRIM, choisissez dans la liste déroulante. Les honoraires des techniciens ne sont pas couverts par les programmes d'aide." sqref="A43:A45" xr:uid="{00000000-0002-0000-0100-000007000000}">
      <formula1>Techs_son</formula1>
    </dataValidation>
  </dataValidations>
  <pageMargins left="0.47244094488188976" right="0.39370078740157483" top="0.43307086614173229" bottom="0.98425196850393704" header="0" footer="0"/>
  <pageSetup fitToHeight="0" orientation="portrait"/>
  <headerFooter>
    <oddFooter>&amp;LProductions Réalisations Indépendantes de Montréal (P.R.I.M.) 2180, rue Fulum, Montréal (Québec) H2K 3N9 &amp;RInfos et réservations : 514-524-2421  www.primcentre.org - info@primcentre.org</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52" r:id="rId3" name="Check Box 4">
              <controlPr locked="0" defaultSize="0" autoFill="0" autoLine="0" autoPict="0">
                <anchor moveWithCells="1">
                  <from>
                    <xdr:col>2</xdr:col>
                    <xdr:colOff>171450</xdr:colOff>
                    <xdr:row>22</xdr:row>
                    <xdr:rowOff>0</xdr:rowOff>
                  </from>
                  <to>
                    <xdr:col>2</xdr:col>
                    <xdr:colOff>447675</xdr:colOff>
                    <xdr:row>23</xdr:row>
                    <xdr:rowOff>9525</xdr:rowOff>
                  </to>
                </anchor>
              </controlPr>
            </control>
          </mc:Choice>
        </mc:AlternateContent>
        <mc:AlternateContent xmlns:mc="http://schemas.openxmlformats.org/markup-compatibility/2006">
          <mc:Choice Requires="x14">
            <control shapeId="2053" r:id="rId4" name="Check Box 5">
              <controlPr locked="0" defaultSize="0" autoFill="0" autoLine="0" autoPict="0">
                <anchor moveWithCells="1">
                  <from>
                    <xdr:col>2</xdr:col>
                    <xdr:colOff>171450</xdr:colOff>
                    <xdr:row>23</xdr:row>
                    <xdr:rowOff>0</xdr:rowOff>
                  </from>
                  <to>
                    <xdr:col>2</xdr:col>
                    <xdr:colOff>447675</xdr:colOff>
                    <xdr:row>24</xdr:row>
                    <xdr:rowOff>9525</xdr:rowOff>
                  </to>
                </anchor>
              </controlPr>
            </control>
          </mc:Choice>
        </mc:AlternateContent>
        <mc:AlternateContent xmlns:mc="http://schemas.openxmlformats.org/markup-compatibility/2006">
          <mc:Choice Requires="x14">
            <control shapeId="2057" r:id="rId5" name="Check Box 9">
              <controlPr locked="0" defaultSize="0" autoFill="0" autoLine="0" autoPict="0">
                <anchor moveWithCells="1">
                  <from>
                    <xdr:col>2</xdr:col>
                    <xdr:colOff>171450</xdr:colOff>
                    <xdr:row>24</xdr:row>
                    <xdr:rowOff>0</xdr:rowOff>
                  </from>
                  <to>
                    <xdr:col>2</xdr:col>
                    <xdr:colOff>447675</xdr:colOff>
                    <xdr:row>25</xdr:row>
                    <xdr:rowOff>9525</xdr:rowOff>
                  </to>
                </anchor>
              </controlPr>
            </control>
          </mc:Choice>
        </mc:AlternateContent>
        <mc:AlternateContent xmlns:mc="http://schemas.openxmlformats.org/markup-compatibility/2006">
          <mc:Choice Requires="x14">
            <control shapeId="2058" r:id="rId6" name="Check Box 10">
              <controlPr locked="0" defaultSize="0" autoFill="0" autoLine="0" autoPict="0">
                <anchor moveWithCells="1">
                  <from>
                    <xdr:col>2</xdr:col>
                    <xdr:colOff>171450</xdr:colOff>
                    <xdr:row>25</xdr:row>
                    <xdr:rowOff>0</xdr:rowOff>
                  </from>
                  <to>
                    <xdr:col>2</xdr:col>
                    <xdr:colOff>447675</xdr:colOff>
                    <xdr:row>26</xdr:row>
                    <xdr:rowOff>9525</xdr:rowOff>
                  </to>
                </anchor>
              </controlPr>
            </control>
          </mc:Choice>
        </mc:AlternateContent>
        <mc:AlternateContent xmlns:mc="http://schemas.openxmlformats.org/markup-compatibility/2006">
          <mc:Choice Requires="x14">
            <control shapeId="2059" r:id="rId7" name="Check Box 11">
              <controlPr locked="0" defaultSize="0" autoFill="0" autoLine="0" autoPict="0">
                <anchor moveWithCells="1">
                  <from>
                    <xdr:col>2</xdr:col>
                    <xdr:colOff>171450</xdr:colOff>
                    <xdr:row>26</xdr:row>
                    <xdr:rowOff>0</xdr:rowOff>
                  </from>
                  <to>
                    <xdr:col>2</xdr:col>
                    <xdr:colOff>447675</xdr:colOff>
                    <xdr:row>27</xdr:row>
                    <xdr:rowOff>9525</xdr:rowOff>
                  </to>
                </anchor>
              </controlPr>
            </control>
          </mc:Choice>
        </mc:AlternateContent>
        <mc:AlternateContent xmlns:mc="http://schemas.openxmlformats.org/markup-compatibility/2006">
          <mc:Choice Requires="x14">
            <control shapeId="2068" r:id="rId8" name="Check Box 20">
              <controlPr locked="0" defaultSize="0" autoFill="0" autoLine="0" autoPict="0">
                <anchor moveWithCells="1">
                  <from>
                    <xdr:col>2</xdr:col>
                    <xdr:colOff>171450</xdr:colOff>
                    <xdr:row>37</xdr:row>
                    <xdr:rowOff>0</xdr:rowOff>
                  </from>
                  <to>
                    <xdr:col>2</xdr:col>
                    <xdr:colOff>447675</xdr:colOff>
                    <xdr:row>38</xdr:row>
                    <xdr:rowOff>9525</xdr:rowOff>
                  </to>
                </anchor>
              </controlPr>
            </control>
          </mc:Choice>
        </mc:AlternateContent>
        <mc:AlternateContent xmlns:mc="http://schemas.openxmlformats.org/markup-compatibility/2006">
          <mc:Choice Requires="x14">
            <control shapeId="2069" r:id="rId9" name="Check Box 21">
              <controlPr locked="0" defaultSize="0" autoFill="0" autoLine="0" autoPict="0">
                <anchor moveWithCells="1">
                  <from>
                    <xdr:col>2</xdr:col>
                    <xdr:colOff>171450</xdr:colOff>
                    <xdr:row>38</xdr:row>
                    <xdr:rowOff>0</xdr:rowOff>
                  </from>
                  <to>
                    <xdr:col>2</xdr:col>
                    <xdr:colOff>447675</xdr:colOff>
                    <xdr:row>39</xdr:row>
                    <xdr:rowOff>9525</xdr:rowOff>
                  </to>
                </anchor>
              </controlPr>
            </control>
          </mc:Choice>
        </mc:AlternateContent>
        <mc:AlternateContent xmlns:mc="http://schemas.openxmlformats.org/markup-compatibility/2006">
          <mc:Choice Requires="x14">
            <control shapeId="2070" r:id="rId10" name="Check Box 22">
              <controlPr locked="0" defaultSize="0" autoFill="0" autoLine="0" autoPict="0">
                <anchor moveWithCells="1">
                  <from>
                    <xdr:col>2</xdr:col>
                    <xdr:colOff>171450</xdr:colOff>
                    <xdr:row>39</xdr:row>
                    <xdr:rowOff>0</xdr:rowOff>
                  </from>
                  <to>
                    <xdr:col>2</xdr:col>
                    <xdr:colOff>447675</xdr:colOff>
                    <xdr:row>40</xdr:row>
                    <xdr:rowOff>9525</xdr:rowOff>
                  </to>
                </anchor>
              </controlPr>
            </control>
          </mc:Choice>
        </mc:AlternateContent>
        <mc:AlternateContent xmlns:mc="http://schemas.openxmlformats.org/markup-compatibility/2006">
          <mc:Choice Requires="x14">
            <control shapeId="2071" r:id="rId11" name="Check Box 23">
              <controlPr locked="0" defaultSize="0" autoFill="0" autoLine="0" autoPict="0">
                <anchor moveWithCells="1">
                  <from>
                    <xdr:col>2</xdr:col>
                    <xdr:colOff>171450</xdr:colOff>
                    <xdr:row>40</xdr:row>
                    <xdr:rowOff>0</xdr:rowOff>
                  </from>
                  <to>
                    <xdr:col>2</xdr:col>
                    <xdr:colOff>447675</xdr:colOff>
                    <xdr:row>41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E47F603-4409-4C9D-9411-4DB6DB6F1535}">
            <xm:f>Tarifs!D$93=8</xm:f>
            <x14:dxf>
              <font>
                <b/>
                <i val="0"/>
                <strike val="0"/>
                <color auto="1"/>
              </font>
            </x14:dxf>
          </x14:cfRule>
          <xm:sqref>K3:L4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Tarifs</vt:lpstr>
      <vt:lpstr>Besoins techniques - PRIM</vt:lpstr>
      <vt:lpstr>DUREE</vt:lpstr>
      <vt:lpstr>EQUIP_PPI</vt:lpstr>
      <vt:lpstr>EQUIP_PPS</vt:lpstr>
      <vt:lpstr>EQUIP_TOURNAGE</vt:lpstr>
      <vt:lpstr>EQUIP_TR</vt:lpstr>
      <vt:lpstr>LTO</vt:lpstr>
      <vt:lpstr>PROGRAMME</vt:lpstr>
      <vt:lpstr>Supports</vt:lpstr>
      <vt:lpstr>Techs_image</vt:lpstr>
      <vt:lpstr>Techs_son</vt:lpstr>
      <vt:lpstr>Techs_TR</vt:lpstr>
      <vt:lpstr>UNIT_Tournage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François Toussaint</cp:lastModifiedBy>
  <dcterms:created xsi:type="dcterms:W3CDTF">2014-09-11T00:49:37Z</dcterms:created>
  <dcterms:modified xsi:type="dcterms:W3CDTF">2024-06-26T13:27:01Z</dcterms:modified>
</cp:coreProperties>
</file>