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G:\Mon Drive\_PRIM\003 - SERVICES AUX MEMBRES\"/>
    </mc:Choice>
  </mc:AlternateContent>
  <bookViews>
    <workbookView xWindow="0" yWindow="0" windowWidth="27495" windowHeight="15600" tabRatio="796" firstSheet="1" activeTab="1"/>
  </bookViews>
  <sheets>
    <sheet name="Tarifs" sheetId="2" state="hidden" r:id="rId1"/>
    <sheet name="Besoins techniques PRIM" sheetId="10" r:id="rId2"/>
  </sheets>
  <definedNames>
    <definedName name="DCP">Tarifs!$A$96:$A$100</definedName>
    <definedName name="DISCIPLINE">Tarifs!$A$87:$A$92</definedName>
    <definedName name="DUREE">'Besoins techniques PRIM'!$G$4</definedName>
    <definedName name="EQUIP_PPI">Tarifs!$A$3:$A$9</definedName>
    <definedName name="EQUIP_PPS">Tarifs!$A$11:$A$17</definedName>
    <definedName name="EQUIP_TOURNAGE">Tarifs!$A$37:$A$77</definedName>
    <definedName name="EQUIP_TR">Tarifs!$A$20</definedName>
    <definedName name="LTO">Tarifs!$F$22:$F$23</definedName>
    <definedName name="MACH_DCP">'Besoins techniques PRIM'!$I$58+'Besoins techniques PRIM'!$I$59+'Besoins techniques PRIM'!#REF!-TECH_DCP</definedName>
    <definedName name="PROGRAMME">Tarifs!$A$81:$A$83</definedName>
    <definedName name="Solde_mach">'Besoins techniques PRIM'!$M$3-'Besoins techniques PRIM'!$K$19-'Besoins techniques PRIM'!#REF!-MACH_DCP</definedName>
    <definedName name="Solde_tech">('Besoins techniques PRIM'!$M$4-'Besoins techniques PRIM'!#REF!-TECH_DCP)</definedName>
    <definedName name="Supports">Tarifs!$A$103:$A$107</definedName>
    <definedName name="TECH_DCP">IF(DUREE*Tarifs!$L$96&lt;Tarifs!$M$96,Tarifs!$M$96*'Besoins techniques PRIM'!$C$58,'Besoins techniques PRIM'!$C$58*DUREE*Tarifs!$L$96)+IF(DUREE*Tarifs!$L$97&lt;Tarifs!$M$97,Tarifs!$M$97*'Besoins techniques PRIM'!$C$59,'Besoins techniques PRIM'!$C$59*DUREE*Tarifs!$L$97)+IF(DUREE*Tarifs!$L$100&lt;Tarifs!$M$100,Tarifs!$M$100*'Besoins techniques PRIM'!#REF!,'Besoins techniques PRIM'!#REF!*DUREE*Tarifs!$L$100)</definedName>
    <definedName name="Techs_image">Tarifs!$A$30:$A$32</definedName>
    <definedName name="Techs_son">Tarifs!$A$33</definedName>
    <definedName name="Techs_TR">Tarifs!$A$34</definedName>
    <definedName name="UNIT_Tournage">Tarifs!$B$36:$E$36</definedName>
    <definedName name="_xlnm.Print_Area" localSheetId="1">'Besoins techniques PRIM'!$A$1:$M$90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69" i="10" l="1"/>
  <c r="I72" i="10"/>
  <c r="I71" i="10"/>
  <c r="I70" i="10"/>
  <c r="I68" i="10"/>
  <c r="I73" i="10" s="1"/>
  <c r="G68" i="10"/>
  <c r="I55" i="10"/>
  <c r="I54" i="10"/>
  <c r="G55" i="10"/>
  <c r="G54" i="10"/>
  <c r="G71" i="10"/>
  <c r="G72" i="10"/>
  <c r="G70" i="10"/>
  <c r="G69" i="10"/>
  <c r="M68" i="10" l="1"/>
  <c r="D81" i="2"/>
  <c r="M55" i="10" l="1"/>
  <c r="K55" i="10" s="1"/>
  <c r="E22" i="2"/>
  <c r="D22" i="2"/>
  <c r="M54" i="10" s="1"/>
  <c r="D23" i="2"/>
  <c r="E23" i="2"/>
  <c r="G11" i="10"/>
  <c r="I11" i="10" s="1"/>
  <c r="G13" i="10"/>
  <c r="I13" i="10" s="1"/>
  <c r="G14" i="10"/>
  <c r="I14" i="10" s="1"/>
  <c r="G15" i="10"/>
  <c r="I15" i="10" s="1"/>
  <c r="G16" i="10"/>
  <c r="I16" i="10" s="1"/>
  <c r="G17" i="10"/>
  <c r="I17" i="10" s="1"/>
  <c r="G18" i="10"/>
  <c r="I18" i="10" s="1"/>
  <c r="G23" i="10"/>
  <c r="I23" i="10" s="1"/>
  <c r="G24" i="10"/>
  <c r="I24" i="10" s="1"/>
  <c r="G25" i="10"/>
  <c r="I25" i="10" s="1"/>
  <c r="G26" i="10"/>
  <c r="I26" i="10" s="1"/>
  <c r="G27" i="10"/>
  <c r="I27" i="10" s="1"/>
  <c r="G28" i="10"/>
  <c r="I28" i="10" s="1"/>
  <c r="G38" i="10"/>
  <c r="I38" i="10" s="1"/>
  <c r="G39" i="10"/>
  <c r="I39" i="10" s="1"/>
  <c r="G40" i="10"/>
  <c r="I40" i="10" s="1"/>
  <c r="G41" i="10"/>
  <c r="I41" i="10" s="1"/>
  <c r="I58" i="10"/>
  <c r="I59" i="10"/>
  <c r="I61" i="10"/>
  <c r="I62" i="10"/>
  <c r="I50" i="10"/>
  <c r="I51" i="10"/>
  <c r="K51" i="10" s="1"/>
  <c r="M51" i="10" s="1"/>
  <c r="K80" i="10"/>
  <c r="K89" i="10" s="1"/>
  <c r="K88" i="10"/>
  <c r="C15" i="2"/>
  <c r="E59" i="10"/>
  <c r="E58" i="10"/>
  <c r="C59" i="2"/>
  <c r="D59" i="2"/>
  <c r="E59" i="2"/>
  <c r="C58" i="2"/>
  <c r="A87" i="10"/>
  <c r="A88" i="10"/>
  <c r="I64" i="10"/>
  <c r="C3" i="2"/>
  <c r="C4" i="2"/>
  <c r="C5" i="2"/>
  <c r="C6" i="2"/>
  <c r="C7" i="2"/>
  <c r="C8" i="2"/>
  <c r="C9" i="2"/>
  <c r="C11" i="2"/>
  <c r="C25" i="2"/>
  <c r="C12" i="2"/>
  <c r="C13" i="2"/>
  <c r="C14" i="2"/>
  <c r="C16" i="2"/>
  <c r="C17" i="2"/>
  <c r="O61" i="10"/>
  <c r="G30" i="10"/>
  <c r="I30" i="10" s="1"/>
  <c r="K30" i="10" s="1"/>
  <c r="M30" i="10" s="1"/>
  <c r="G31" i="10"/>
  <c r="I31" i="10" s="1"/>
  <c r="K31" i="10" s="1"/>
  <c r="M31" i="10" s="1"/>
  <c r="G32" i="10"/>
  <c r="I32" i="10" s="1"/>
  <c r="K32" i="10" s="1"/>
  <c r="M32" i="10" s="1"/>
  <c r="G33" i="10"/>
  <c r="I33" i="10" s="1"/>
  <c r="K33" i="10" s="1"/>
  <c r="M33" i="10" s="1"/>
  <c r="G43" i="10"/>
  <c r="I43" i="10" s="1"/>
  <c r="K43" i="10" s="1"/>
  <c r="M43" i="10" s="1"/>
  <c r="G44" i="10"/>
  <c r="I44" i="10" s="1"/>
  <c r="K44" i="10" s="1"/>
  <c r="M44" i="10" s="1"/>
  <c r="G45" i="10"/>
  <c r="I45" i="10" s="1"/>
  <c r="K45" i="10" s="1"/>
  <c r="M45" i="10" s="1"/>
  <c r="Q58" i="10"/>
  <c r="Q59" i="10"/>
  <c r="Q61" i="10"/>
  <c r="O64" i="10"/>
  <c r="O62" i="10"/>
  <c r="Q62" i="10"/>
  <c r="C37" i="2"/>
  <c r="E29" i="2"/>
  <c r="G97" i="2"/>
  <c r="G96" i="2"/>
  <c r="K97" i="2"/>
  <c r="K96" i="2"/>
  <c r="O58" i="10"/>
  <c r="O59" i="10"/>
  <c r="G58" i="10"/>
  <c r="E97" i="2"/>
  <c r="E77" i="2"/>
  <c r="D77" i="2"/>
  <c r="C77" i="2"/>
  <c r="E76" i="2"/>
  <c r="D76" i="2"/>
  <c r="C76" i="2"/>
  <c r="E75" i="2"/>
  <c r="D75" i="2"/>
  <c r="C75" i="2"/>
  <c r="E74" i="2"/>
  <c r="D74" i="2"/>
  <c r="C74" i="2"/>
  <c r="E73" i="2"/>
  <c r="D73" i="2"/>
  <c r="C73" i="2"/>
  <c r="E72" i="2"/>
  <c r="D72" i="2"/>
  <c r="C72" i="2"/>
  <c r="E71" i="2"/>
  <c r="D71" i="2"/>
  <c r="C71" i="2"/>
  <c r="E70" i="2"/>
  <c r="D70" i="2"/>
  <c r="C70" i="2"/>
  <c r="E69" i="2"/>
  <c r="D69" i="2"/>
  <c r="C69" i="2"/>
  <c r="E68" i="2"/>
  <c r="D68" i="2"/>
  <c r="C68" i="2"/>
  <c r="E67" i="2"/>
  <c r="D67" i="2"/>
  <c r="C67" i="2"/>
  <c r="E66" i="2"/>
  <c r="D66" i="2"/>
  <c r="C66" i="2"/>
  <c r="E65" i="2"/>
  <c r="D65" i="2"/>
  <c r="C65" i="2"/>
  <c r="E64" i="2"/>
  <c r="D64" i="2"/>
  <c r="C64" i="2"/>
  <c r="E63" i="2"/>
  <c r="D63" i="2"/>
  <c r="C63" i="2"/>
  <c r="E62" i="2"/>
  <c r="D62" i="2"/>
  <c r="C62" i="2"/>
  <c r="E61" i="2"/>
  <c r="D61" i="2"/>
  <c r="C61" i="2"/>
  <c r="E60" i="2"/>
  <c r="D60" i="2"/>
  <c r="C60" i="2"/>
  <c r="E56" i="2"/>
  <c r="D56" i="2"/>
  <c r="C56" i="2"/>
  <c r="E57" i="2"/>
  <c r="D57" i="2"/>
  <c r="C57" i="2"/>
  <c r="E58" i="2"/>
  <c r="D58"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C38" i="2"/>
  <c r="D38" i="2"/>
  <c r="E38" i="2"/>
  <c r="E37" i="2"/>
  <c r="D37" i="2"/>
  <c r="A86" i="10"/>
  <c r="C96" i="2"/>
  <c r="I76" i="10"/>
  <c r="I77" i="10"/>
  <c r="M77" i="10" s="1"/>
  <c r="I78" i="10"/>
  <c r="M78" i="10" s="1"/>
  <c r="I79" i="10"/>
  <c r="M79" i="10" s="1"/>
  <c r="M69" i="10"/>
  <c r="M70" i="10"/>
  <c r="M71" i="10"/>
  <c r="M72" i="10"/>
  <c r="I96" i="2"/>
  <c r="I97" i="2"/>
  <c r="G59" i="10"/>
  <c r="C97" i="2"/>
  <c r="T97" i="2"/>
  <c r="U97" i="2"/>
  <c r="T98" i="2"/>
  <c r="U98" i="2"/>
  <c r="T99" i="2"/>
  <c r="U99" i="2"/>
  <c r="T100" i="2"/>
  <c r="U100" i="2"/>
  <c r="T96" i="2"/>
  <c r="U96" i="2"/>
  <c r="G64" i="10"/>
  <c r="G61" i="10"/>
  <c r="G62" i="10"/>
  <c r="M97" i="2"/>
  <c r="M96" i="2"/>
  <c r="E96" i="2"/>
  <c r="A85" i="10"/>
  <c r="A84" i="10"/>
  <c r="G86" i="10"/>
  <c r="Q64" i="10"/>
  <c r="I80" i="10" l="1"/>
  <c r="I89" i="10" s="1"/>
  <c r="M76" i="10"/>
  <c r="M80" i="10" s="1"/>
  <c r="M89" i="10" s="1"/>
  <c r="G12" i="10"/>
  <c r="I12" i="10" s="1"/>
  <c r="I65" i="10"/>
  <c r="I87" i="10" s="1"/>
  <c r="R62" i="10"/>
  <c r="M73" i="10"/>
  <c r="M88" i="10" s="1"/>
  <c r="I88" i="10"/>
  <c r="R59" i="10"/>
  <c r="R58" i="10"/>
  <c r="R64" i="10"/>
  <c r="P58" i="10"/>
  <c r="P59" i="10" s="1"/>
  <c r="P61" i="10" s="1"/>
  <c r="P62" i="10" s="1"/>
  <c r="P64" i="10" s="1"/>
  <c r="R61" i="10"/>
  <c r="I46" i="10"/>
  <c r="I86" i="10" s="1"/>
  <c r="I34" i="10"/>
  <c r="I85" i="10" s="1"/>
  <c r="I19" i="10" l="1"/>
  <c r="I84" i="10" s="1"/>
  <c r="I90" i="10" s="1"/>
  <c r="F66" i="2" l="1"/>
  <c r="I74" i="2"/>
  <c r="F69" i="2"/>
  <c r="I42" i="2"/>
  <c r="I61" i="2"/>
  <c r="I60" i="2"/>
  <c r="G39" i="2"/>
  <c r="G44" i="2"/>
  <c r="H40" i="2"/>
  <c r="F43" i="2"/>
  <c r="F56" i="2"/>
  <c r="I64" i="2"/>
  <c r="H49" i="2"/>
  <c r="H71" i="2"/>
  <c r="E12" i="2"/>
  <c r="H77" i="2"/>
  <c r="H47" i="2"/>
  <c r="G77" i="2"/>
  <c r="D6" i="2"/>
  <c r="G54" i="2"/>
  <c r="E6" i="2"/>
  <c r="F51" i="2"/>
  <c r="Q98" i="2"/>
  <c r="H41" i="2"/>
  <c r="F45" i="2"/>
  <c r="I70" i="2"/>
  <c r="I73" i="2"/>
  <c r="H43" i="2"/>
  <c r="E25" i="2"/>
  <c r="G60" i="2"/>
  <c r="F39" i="2"/>
  <c r="D7" i="2"/>
  <c r="I77" i="2"/>
  <c r="F53" i="2"/>
  <c r="H57" i="2"/>
  <c r="D25" i="2"/>
  <c r="F73" i="2"/>
  <c r="H72" i="2"/>
  <c r="F71" i="2"/>
  <c r="H51" i="2"/>
  <c r="I69" i="2"/>
  <c r="R99" i="2"/>
  <c r="F67" i="2"/>
  <c r="F60" i="2"/>
  <c r="E9" i="2"/>
  <c r="H76" i="2"/>
  <c r="F63" i="2"/>
  <c r="D3" i="2"/>
  <c r="E7" i="2"/>
  <c r="H42" i="2"/>
  <c r="E14" i="2"/>
  <c r="Q99" i="2"/>
  <c r="H64" i="2"/>
  <c r="I65" i="2"/>
  <c r="F74" i="2"/>
  <c r="G65" i="2"/>
  <c r="F57" i="2"/>
  <c r="I59" i="2"/>
  <c r="F68" i="2"/>
  <c r="I50" i="2"/>
  <c r="H75" i="2"/>
  <c r="I57" i="2"/>
  <c r="H60" i="2"/>
  <c r="I43" i="2"/>
  <c r="H44" i="2"/>
  <c r="F59" i="2"/>
  <c r="H39" i="2"/>
  <c r="E15" i="2"/>
  <c r="G42" i="2"/>
  <c r="D4" i="2"/>
  <c r="G47" i="2"/>
  <c r="H46" i="2"/>
  <c r="G73" i="2"/>
  <c r="G63" i="2"/>
  <c r="I72" i="2"/>
  <c r="D15" i="2"/>
  <c r="E13" i="2"/>
  <c r="Q100" i="2"/>
  <c r="I55" i="2"/>
  <c r="H53" i="2"/>
  <c r="F72" i="2"/>
  <c r="F42" i="2"/>
  <c r="G49" i="2"/>
  <c r="F47" i="2"/>
  <c r="G74" i="2"/>
  <c r="H37" i="2"/>
  <c r="F77" i="2"/>
  <c r="F61" i="2"/>
  <c r="H67" i="2"/>
  <c r="E20" i="2"/>
  <c r="E8" i="2"/>
  <c r="H48" i="2"/>
  <c r="F54" i="2"/>
  <c r="H62" i="2"/>
  <c r="G50" i="2"/>
  <c r="I67" i="2"/>
  <c r="E5" i="2"/>
  <c r="I71" i="2"/>
  <c r="I52" i="2"/>
  <c r="F75" i="2"/>
  <c r="G53" i="2"/>
  <c r="G57" i="2"/>
  <c r="I40" i="2"/>
  <c r="R96" i="2"/>
  <c r="I39" i="2"/>
  <c r="G69" i="2"/>
  <c r="F40" i="2"/>
  <c r="I53" i="2"/>
  <c r="H61" i="2"/>
  <c r="I49" i="2"/>
  <c r="D14" i="2"/>
  <c r="E81" i="2"/>
  <c r="G62" i="2"/>
  <c r="H50" i="2"/>
  <c r="G40" i="2"/>
  <c r="H66" i="2"/>
  <c r="I56" i="2"/>
  <c r="G71" i="2"/>
  <c r="R97" i="2"/>
  <c r="H65" i="2"/>
  <c r="D16" i="2"/>
  <c r="D5" i="2"/>
  <c r="I62" i="2"/>
  <c r="I68" i="2"/>
  <c r="I75" i="2"/>
  <c r="H73" i="2"/>
  <c r="F41" i="2"/>
  <c r="E16" i="2"/>
  <c r="I38" i="2"/>
  <c r="G61" i="2"/>
  <c r="G67" i="2"/>
  <c r="H68" i="2"/>
  <c r="F49" i="2"/>
  <c r="I45" i="2"/>
  <c r="F50" i="2"/>
  <c r="H54" i="2"/>
  <c r="F70" i="2"/>
  <c r="I44" i="2"/>
  <c r="G43" i="2"/>
  <c r="F46" i="2"/>
  <c r="F76" i="2"/>
  <c r="H70" i="2"/>
  <c r="H63" i="2"/>
  <c r="G64" i="2"/>
  <c r="G66" i="2"/>
  <c r="D8" i="2"/>
  <c r="I63" i="2"/>
  <c r="H38" i="2"/>
  <c r="I46" i="2"/>
  <c r="G76" i="2"/>
  <c r="F55" i="2"/>
  <c r="F65" i="2"/>
  <c r="G46" i="2"/>
  <c r="H56" i="2"/>
  <c r="I51" i="2"/>
  <c r="H52" i="2"/>
  <c r="E17" i="2"/>
  <c r="F64" i="2"/>
  <c r="D13" i="2"/>
  <c r="F37" i="2"/>
  <c r="H58" i="2"/>
  <c r="G75" i="2"/>
  <c r="D12" i="2"/>
  <c r="F62" i="2"/>
  <c r="G41" i="2"/>
  <c r="E11" i="2"/>
  <c r="E3" i="2"/>
  <c r="I54" i="2"/>
  <c r="R98" i="2"/>
  <c r="F44" i="2"/>
  <c r="D20" i="2"/>
  <c r="M50" i="10" s="1"/>
  <c r="G52" i="2"/>
  <c r="G58" i="2"/>
  <c r="G59" i="2"/>
  <c r="F52" i="2"/>
  <c r="E4" i="2"/>
  <c r="G48" i="2"/>
  <c r="G51" i="2"/>
  <c r="H55" i="2"/>
  <c r="F48" i="2"/>
  <c r="F38" i="2"/>
  <c r="H74" i="2"/>
  <c r="G37" i="2"/>
  <c r="G38" i="2"/>
  <c r="G56" i="2"/>
  <c r="D9" i="2"/>
  <c r="I76" i="2"/>
  <c r="Q97" i="2"/>
  <c r="I48" i="2"/>
  <c r="H59" i="2"/>
  <c r="H45" i="2"/>
  <c r="D17" i="2"/>
  <c r="G72" i="2"/>
  <c r="G45" i="2"/>
  <c r="G68" i="2"/>
  <c r="G70" i="2"/>
  <c r="R100" i="2"/>
  <c r="D11" i="2"/>
  <c r="F58" i="2"/>
  <c r="I37" i="2"/>
  <c r="G55" i="2"/>
  <c r="I47" i="2"/>
  <c r="Q96" i="2"/>
  <c r="H69" i="2"/>
  <c r="I58" i="2"/>
  <c r="I66" i="2"/>
  <c r="I41" i="2"/>
  <c r="M12" i="10" l="1"/>
  <c r="K12" i="10" s="1"/>
  <c r="M38" i="10" l="1"/>
  <c r="K38" i="10" s="1"/>
  <c r="M39" i="10"/>
  <c r="K39" i="10" s="1"/>
  <c r="M40" i="10"/>
  <c r="K40" i="10" s="1"/>
  <c r="M41" i="10"/>
  <c r="K41" i="10" s="1"/>
  <c r="M11" i="10"/>
  <c r="K11" i="10" s="1"/>
  <c r="M13" i="10"/>
  <c r="K13" i="10" s="1"/>
  <c r="M14" i="10"/>
  <c r="K14" i="10" s="1"/>
  <c r="M15" i="10"/>
  <c r="K15" i="10" s="1"/>
  <c r="M16" i="10"/>
  <c r="K16" i="10" s="1"/>
  <c r="M17" i="10"/>
  <c r="K17" i="10" s="1"/>
  <c r="M18" i="10"/>
  <c r="K18" i="10" s="1"/>
  <c r="M23" i="10"/>
  <c r="K23" i="10" s="1"/>
  <c r="M24" i="10"/>
  <c r="K24" i="10" s="1"/>
  <c r="M25" i="10"/>
  <c r="K25" i="10" s="1"/>
  <c r="M26" i="10"/>
  <c r="M27" i="10"/>
  <c r="K27" i="10" s="1"/>
  <c r="M28" i="10"/>
  <c r="K28" i="10" s="1"/>
  <c r="M58" i="10"/>
  <c r="K58" i="10" s="1"/>
  <c r="M59" i="10"/>
  <c r="K59" i="10" s="1"/>
  <c r="M61" i="10"/>
  <c r="K61" i="10" s="1"/>
  <c r="M62" i="10"/>
  <c r="K62" i="10" s="1"/>
  <c r="M64" i="10"/>
  <c r="K64" i="10" s="1"/>
  <c r="K50" i="10"/>
  <c r="K19" i="10" l="1"/>
  <c r="K84" i="10" s="1"/>
  <c r="M34" i="10"/>
  <c r="M85" i="10" s="1"/>
  <c r="K46" i="10"/>
  <c r="K86" i="10" s="1"/>
  <c r="M65" i="10"/>
  <c r="M87" i="10" s="1"/>
  <c r="K26" i="10"/>
  <c r="M19" i="10"/>
  <c r="M84" i="10" s="1"/>
  <c r="M46" i="10"/>
  <c r="M86" i="10" s="1"/>
  <c r="N58" i="10" l="1"/>
  <c r="N59" i="10" s="1"/>
  <c r="N61" i="10" s="1"/>
  <c r="N62" i="10" s="1"/>
  <c r="N64" i="10" s="1"/>
  <c r="K34" i="10"/>
  <c r="K85" i="10" s="1"/>
  <c r="M90" i="10"/>
  <c r="K54" i="10"/>
  <c r="K65" i="10" s="1"/>
  <c r="K87" i="10" s="1"/>
  <c r="K90" i="10" l="1"/>
</calcChain>
</file>

<file path=xl/sharedStrings.xml><?xml version="1.0" encoding="utf-8"?>
<sst xmlns="http://schemas.openxmlformats.org/spreadsheetml/2006/main" count="484" uniqueCount="169">
  <si>
    <t>Unité</t>
  </si>
  <si>
    <t>Équipement</t>
  </si>
  <si>
    <t>Technicien vidéo (transferts)</t>
  </si>
  <si>
    <t>Journée</t>
  </si>
  <si>
    <t>Adaptateur pour lentille (micro 4/3 à 4/3)</t>
  </si>
  <si>
    <t>Adaptateur pour lentille (micro 4/3 à NIKON)</t>
  </si>
  <si>
    <t xml:space="preserve">Lentille Olympus 14-35 mm F/2.0 </t>
  </si>
  <si>
    <t>Trépied Miller 30</t>
  </si>
  <si>
    <t>Trépied Manfrotto</t>
  </si>
  <si>
    <t>Carte P2 16 Go</t>
  </si>
  <si>
    <t>Carte P2 64 Go</t>
  </si>
  <si>
    <t xml:space="preserve">Micro Sennheiser MKH 60 </t>
  </si>
  <si>
    <t>Perche, zeppelin, fourrure</t>
  </si>
  <si>
    <t xml:space="preserve">Mixette Shure FP33 </t>
  </si>
  <si>
    <t>Jour</t>
  </si>
  <si>
    <t>Semaine</t>
  </si>
  <si>
    <t>Mois</t>
  </si>
  <si>
    <t>Caméra PANASONIC AG-AF 100P (+ trépied + batteries)</t>
  </si>
  <si>
    <t>Caméra PANASONIC P2HD Série AH-HVX200  (+ trépied + batteries)</t>
  </si>
  <si>
    <t>Fin de semaine</t>
  </si>
  <si>
    <t>Durée de la location</t>
  </si>
  <si>
    <t>Nbre d'heures</t>
  </si>
  <si>
    <t>TOTAL</t>
  </si>
  <si>
    <t>Coût d'utilisation</t>
  </si>
  <si>
    <t>Art audio</t>
  </si>
  <si>
    <t>Musique</t>
  </si>
  <si>
    <t>Programme d'aide</t>
  </si>
  <si>
    <t>Discipline artistique</t>
  </si>
  <si>
    <t>Fiction</t>
  </si>
  <si>
    <t>Documentaire</t>
  </si>
  <si>
    <t>Animation</t>
  </si>
  <si>
    <t>DCP</t>
  </si>
  <si>
    <t>de PRIM</t>
  </si>
  <si>
    <t xml:space="preserve">Coût de production </t>
  </si>
  <si>
    <t>minutes</t>
  </si>
  <si>
    <t>Quantité</t>
  </si>
  <si>
    <t>Non membre</t>
  </si>
  <si>
    <t>Aide à la création</t>
  </si>
  <si>
    <t>Documentaire à risque</t>
  </si>
  <si>
    <t>Nbre</t>
  </si>
  <si>
    <t>Aide créa -75%</t>
  </si>
  <si>
    <t>Doc risque -85%</t>
  </si>
  <si>
    <t>Membre (-50%)</t>
  </si>
  <si>
    <t>Résidence - 100%</t>
  </si>
  <si>
    <t>$/min</t>
  </si>
  <si>
    <t>Minimum</t>
  </si>
  <si>
    <t>Tarif membre</t>
  </si>
  <si>
    <t>Tarif</t>
  </si>
  <si>
    <t>Tarif non-membre</t>
  </si>
  <si>
    <t>-</t>
  </si>
  <si>
    <t>=</t>
  </si>
  <si>
    <t>x</t>
  </si>
  <si>
    <t>Payé par l'artiste</t>
  </si>
  <si>
    <t>TOTAL LOCATION ÉQUIPEMENTS DE TOURNAGE</t>
  </si>
  <si>
    <t>LOCATION D'ÉQUIPEMENTS DE TOURNAGE</t>
  </si>
  <si>
    <t>Tarif
($/h)</t>
  </si>
  <si>
    <t xml:space="preserve">Taux / minute </t>
  </si>
  <si>
    <t>Taux selon rabais</t>
  </si>
  <si>
    <t xml:space="preserve">Coût total </t>
  </si>
  <si>
    <t>Durée</t>
  </si>
  <si>
    <t xml:space="preserve">Tarif </t>
  </si>
  <si>
    <t>Tarif soir et WE</t>
  </si>
  <si>
    <t>Montant max. :</t>
  </si>
  <si>
    <t>Résidence et prix</t>
  </si>
  <si>
    <t>Commentaires</t>
  </si>
  <si>
    <t>ESTIMATION DES BESOINS TECHNIQUES</t>
  </si>
  <si>
    <t>DCP - MOYEN ET LONG MÉTRAGE</t>
  </si>
  <si>
    <t>Copie maître (tarif à la minute)</t>
  </si>
  <si>
    <t>Supplément sous-titrage (par langue; tarif à la minute)</t>
  </si>
  <si>
    <t>DCP - COURT MÉTRAGE ( - de 15 min) ET BANDE ANNONCE</t>
  </si>
  <si>
    <t>Supplément sous-titrage (par langue; par copie)</t>
  </si>
  <si>
    <t>Copie maître (par copie)</t>
  </si>
  <si>
    <t>DCP - COPIE SUPPLÉMENTAIRE (toutes durées)</t>
  </si>
  <si>
    <t>Copie supplémentaire (par copie)</t>
  </si>
  <si>
    <t>Résidence</t>
  </si>
  <si>
    <t>Part tech</t>
  </si>
  <si>
    <t>Part machine</t>
  </si>
  <si>
    <t>PRIM résidence</t>
  </si>
  <si>
    <t>Machine</t>
  </si>
  <si>
    <t>Tech</t>
  </si>
  <si>
    <t>Solde tech</t>
  </si>
  <si>
    <t>Solde machine</t>
  </si>
  <si>
    <r>
      <t xml:space="preserve">KIT son tournage </t>
    </r>
    <r>
      <rPr>
        <i/>
        <sz val="10"/>
        <color indexed="8"/>
        <rFont val="Arial"/>
        <family val="2"/>
      </rPr>
      <t>(Mixette Sound Devices Mix Pre10-t + Micro Sennheiser MKH 60 + zeppelin + fourrure + perche + 2 micros sans fil Lavalier +  écouteurs)</t>
    </r>
  </si>
  <si>
    <r>
      <t xml:space="preserve">KIT VR Son ambiance </t>
    </r>
    <r>
      <rPr>
        <i/>
        <sz val="10"/>
        <color theme="1"/>
        <rFont val="Arial"/>
        <family val="2"/>
      </rPr>
      <t>(Mixette Sound Devices Mix Pre 6 + Micro Ambeo + monopode + écouteurs)</t>
    </r>
  </si>
  <si>
    <r>
      <t xml:space="preserve">KIT VR Caméra </t>
    </r>
    <r>
      <rPr>
        <sz val="10"/>
        <color theme="1"/>
        <rFont val="Arial"/>
        <family val="2"/>
      </rPr>
      <t>(</t>
    </r>
    <r>
      <rPr>
        <i/>
        <sz val="10"/>
        <color theme="1"/>
        <rFont val="Arial"/>
        <family val="2"/>
      </rPr>
      <t>Caméra Insta360 Pro + batteries+ trépied + casque VR + téléphone LG G4)</t>
    </r>
  </si>
  <si>
    <r>
      <t xml:space="preserve">KIT VR  complet </t>
    </r>
    <r>
      <rPr>
        <i/>
        <sz val="10"/>
        <color theme="1"/>
        <rFont val="Arial"/>
        <family val="2"/>
      </rPr>
      <t>(Caméra Insta360 Pro + batteries+ trépied + casque VR + téléphone LG G4 + UltraSync One 
Mixette Sound Devices Mix Pre10t + 2 kits micros Lavalier + micro Ambeo + monopode + écouteurs)</t>
    </r>
  </si>
  <si>
    <t>Trépied Sachtler</t>
  </si>
  <si>
    <t>Caméra VR Insta360 Pro (+ batteries)</t>
  </si>
  <si>
    <t>Caméra VR Kodak PixPro 360 4k Dual (+ batteries + rig)</t>
  </si>
  <si>
    <t>Casque VR avec Téléphone LG G4</t>
  </si>
  <si>
    <t>Générateur de timecode UltraSync One</t>
  </si>
  <si>
    <t>Micro Ambeo</t>
  </si>
  <si>
    <t>Monopode</t>
  </si>
  <si>
    <t>Expérimental / Installations / VR / Art vidéo</t>
  </si>
  <si>
    <t>Honoraires  
tech. Inclus :</t>
  </si>
  <si>
    <t>DVD-R</t>
  </si>
  <si>
    <t>Blu-Ray</t>
  </si>
  <si>
    <t>Kit DCP (malette + disque dur 256gb)</t>
  </si>
  <si>
    <t>TOTAL SUPPORTS</t>
  </si>
  <si>
    <t>AUTRES BESOINS TECHNIQUES</t>
  </si>
  <si>
    <t>TOTAL AUTRES BESOINS TECHNIQUES</t>
  </si>
  <si>
    <t>Caméra EVA-1 (+ trépied + batteries + 2 cartes SDX 128Go)</t>
  </si>
  <si>
    <t>Lentille Canon 16-35 mm F/2.8</t>
  </si>
  <si>
    <t>Rig Zacuto Z-finder</t>
  </si>
  <si>
    <t>Carte SDX 128 Go</t>
  </si>
  <si>
    <t xml:space="preserve">Casque Oculus Go </t>
  </si>
  <si>
    <r>
      <t xml:space="preserve">KIT son libre </t>
    </r>
    <r>
      <rPr>
        <sz val="10"/>
        <color theme="1"/>
        <rFont val="Arial"/>
        <family val="2"/>
      </rPr>
      <t>(</t>
    </r>
    <r>
      <rPr>
        <i/>
        <sz val="10"/>
        <color indexed="8"/>
        <rFont val="Arial"/>
        <family val="2"/>
      </rPr>
      <t>Mixette Sound Devices Mix Pre 6 + Micro Sennheiser MKH 60 + zeppelin + fourrure + perche)</t>
    </r>
  </si>
  <si>
    <t>Micro sans fil Lavalier DPA 4060 (+ emmeteur + récepteur)</t>
  </si>
  <si>
    <t>Écouteurs Sennheiser HD25</t>
  </si>
  <si>
    <t>POSTPRODUCTION IMAGE</t>
  </si>
  <si>
    <t>Studios et équipements</t>
  </si>
  <si>
    <t>Honoraires des techniciens</t>
  </si>
  <si>
    <t>TOTAL POSTPRODUCTION IMAGE</t>
  </si>
  <si>
    <t>Aide de PRIM</t>
  </si>
  <si>
    <t>POSTPRODUCTION SONORE</t>
  </si>
  <si>
    <t>TOTAL POSTPRODUCTION SONORE</t>
  </si>
  <si>
    <t>TOTAL LIVRABLES ET COPIES</t>
  </si>
  <si>
    <t>Post prod image</t>
  </si>
  <si>
    <t>Livrables</t>
  </si>
  <si>
    <t>Post prod sonore</t>
  </si>
  <si>
    <t xml:space="preserve">Montage off-line </t>
  </si>
  <si>
    <t>Colorisation</t>
  </si>
  <si>
    <t>Exploration en art numérique (VR)</t>
  </si>
  <si>
    <t>Enregistrement - voix, musique, bruitage (sans accessoires)</t>
  </si>
  <si>
    <t>Conception et montage sonore (sans banque de sons)</t>
  </si>
  <si>
    <t>Mixage - cinéma</t>
  </si>
  <si>
    <t>Mixage - musique et installations</t>
  </si>
  <si>
    <t>Spatialisation VR</t>
  </si>
  <si>
    <t>Visionnement - Salle de colorisation (projection 2K, écran 154'')</t>
  </si>
  <si>
    <t>Visionnement - Salle de mixage (projection 4K, écran 220")</t>
  </si>
  <si>
    <t>Exploration sonore (Labo)</t>
  </si>
  <si>
    <t>Livrables son</t>
  </si>
  <si>
    <t>Transferts et numérisations</t>
  </si>
  <si>
    <t>TRANSFERTS</t>
  </si>
  <si>
    <t>Recherche et exploration</t>
  </si>
  <si>
    <t>R&amp;E -90%</t>
  </si>
  <si>
    <t>Nuit</t>
  </si>
  <si>
    <t>Tarif non membre</t>
  </si>
  <si>
    <t xml:space="preserve">Choisir le programme de soutien </t>
  </si>
  <si>
    <t>Indiquer la durée de l'œuvre</t>
  </si>
  <si>
    <t xml:space="preserve">Titre du projet </t>
  </si>
  <si>
    <t xml:space="preserve">Nom de l'artiste </t>
  </si>
  <si>
    <t>Tarif après rabais</t>
  </si>
  <si>
    <t>Montage on-line (conform, génériques, intégration ss-titres, …)</t>
  </si>
  <si>
    <t>Assistanat montage off-line</t>
  </si>
  <si>
    <r>
      <t xml:space="preserve">KIT caméra 1 </t>
    </r>
    <r>
      <rPr>
        <i/>
        <sz val="10"/>
        <color theme="1"/>
        <rFont val="Arial"/>
        <family val="2"/>
      </rPr>
      <t>(Caméra Panasonic EVA-1 + 3 lentilles Canon + Rig Zacuto Z-finder + enregistreur Atomos Shogun + Trépied Sachtler + batteries + 2 cartes 128 Go)</t>
    </r>
  </si>
  <si>
    <r>
      <t xml:space="preserve">KIT caméra 2 </t>
    </r>
    <r>
      <rPr>
        <i/>
        <sz val="10"/>
        <color indexed="8"/>
        <rFont val="Arial"/>
        <family val="2"/>
      </rPr>
      <t>(Caméra Panasonic AG-AF 100P + lentille Olympus  14-35 mm F/2.0  + adaptateur 4/3 + enregistreur ATOMOS Samurai + Trépied Manfrotto + batteries   )</t>
    </r>
  </si>
  <si>
    <t>Enregistreur Atomos Shogun 4K/60p (+ 2 batteries et disque dur 256 Go)</t>
  </si>
  <si>
    <t>Enregistreur Atomos Samurai  (+ 2 batteries et disque dur de 256 Go)</t>
  </si>
  <si>
    <t>Valise éclairage Arri Fresnel 2 X 300 W + 1X 150 W</t>
  </si>
  <si>
    <t>Mixette Sound Devices MixPre 10-t</t>
  </si>
  <si>
    <t>Mixette Sound Devices MixPre-6</t>
  </si>
  <si>
    <t>Coloriste</t>
  </si>
  <si>
    <t>Technicien·ne·s</t>
  </si>
  <si>
    <t>Monteur·euse</t>
  </si>
  <si>
    <t>Assistant·e montage off-line</t>
  </si>
  <si>
    <t>Mixeur·euse / technicien·ne audio</t>
  </si>
  <si>
    <t>Technicien·ne vidéo (transferts)</t>
  </si>
  <si>
    <t>Clé USB 3.0 - 128Gb</t>
  </si>
  <si>
    <t>Cartouche LTO 6</t>
  </si>
  <si>
    <t>Archivage LTO</t>
  </si>
  <si>
    <t>ARCHIVAGE LTO</t>
  </si>
  <si>
    <t>Petit</t>
  </si>
  <si>
    <t>- de 2To</t>
  </si>
  <si>
    <t>2To et +</t>
  </si>
  <si>
    <t>Archive LTO (- de 2 To)</t>
  </si>
  <si>
    <t>Archive LTO (2To et +)</t>
  </si>
  <si>
    <t>Coût</t>
  </si>
  <si>
    <t>SUPPORTS NUMÉRIQUES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</si>
</sst>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_);[Red]\(#,##0\ &quot;$&quot;\)"/>
    <numFmt numFmtId="44" formatCode="_ * #,##0.00_)\ &quot;$&quot;_ ;_ * \(#,##0.00\)\ &quot;$&quot;_ ;_ * &quot;-&quot;??_)\ &quot;$&quot;_ ;_ @_ "/>
    <numFmt numFmtId="164" formatCode="_-* #,##0.00\ _€_-;\-* #,##0.00\ _€_-;_-* &quot;-&quot;??\ _€_-;_-@_-"/>
    <numFmt numFmtId="165" formatCode="#,##0\ &quot;$&quot;"/>
    <numFmt numFmtId="166" formatCode="#,##0.00\ &quot;$&quot;"/>
    <numFmt numFmtId="167" formatCode="_ * #,##0_)\ &quot;$&quot;_ ;_ * \(#,##0\)\ &quot;$&quot;_ ;_ * &quot;-&quot;??_)\ &quot;$&quot;_ ;_ @_ "/>
  </numFmts>
  <fonts count="39" x14ac:knownFonts="1">
    <font>
      <sz val="11"/>
      <color theme="1"/>
      <name val="Calibri"/>
      <family val="2"/>
      <scheme val="minor"/>
    </font>
    <font>
      <i/>
      <sz val="10"/>
      <color indexed="8"/>
      <name val="Arial"/>
      <family val="2"/>
    </font>
    <font>
      <sz val="8"/>
      <name val="Calibri"/>
      <family val="2"/>
    </font>
    <font>
      <sz val="11"/>
      <color theme="1"/>
      <name val="Calibri"/>
      <family val="2"/>
      <scheme val="minor"/>
    </font>
    <font>
      <b/>
      <sz val="10"/>
      <color theme="1"/>
      <name val="Arial"/>
      <family val="2"/>
    </font>
    <font>
      <sz val="10"/>
      <color theme="1"/>
      <name val="Arial"/>
      <family val="2"/>
    </font>
    <font>
      <sz val="10"/>
      <color theme="0"/>
      <name val="Arial"/>
      <family val="2"/>
    </font>
    <font>
      <b/>
      <sz val="11"/>
      <color theme="1"/>
      <name val="Arial"/>
      <family val="2"/>
    </font>
    <font>
      <b/>
      <sz val="10"/>
      <color theme="0"/>
      <name val="Arial"/>
      <family val="2"/>
    </font>
    <font>
      <sz val="9"/>
      <color theme="1"/>
      <name val="Arial"/>
      <family val="2"/>
    </font>
    <font>
      <b/>
      <sz val="9"/>
      <color theme="0"/>
      <name val="Arial"/>
      <family val="2"/>
    </font>
    <font>
      <sz val="11"/>
      <color theme="1"/>
      <name val="Arial"/>
      <family val="2"/>
    </font>
    <font>
      <sz val="12"/>
      <color theme="1"/>
      <name val="Arial"/>
      <family val="2"/>
    </font>
    <font>
      <i/>
      <sz val="10"/>
      <color theme="1"/>
      <name val="Arial"/>
      <family val="2"/>
    </font>
    <font>
      <b/>
      <sz val="12"/>
      <color theme="1"/>
      <name val="Arial"/>
      <family val="2"/>
    </font>
    <font>
      <b/>
      <sz val="15"/>
      <color theme="0"/>
      <name val="Arial"/>
      <family val="2"/>
    </font>
    <font>
      <sz val="11"/>
      <color indexed="8"/>
      <name val="Calibri"/>
      <family val="2"/>
    </font>
    <font>
      <b/>
      <sz val="10"/>
      <name val="Arial"/>
      <family val="2"/>
    </font>
    <font>
      <b/>
      <sz val="11"/>
      <name val="Arial"/>
      <family val="2"/>
    </font>
    <font>
      <sz val="10"/>
      <name val="Arial"/>
      <family val="2"/>
    </font>
    <font>
      <sz val="9"/>
      <color theme="0"/>
      <name val="Arial"/>
      <family val="2"/>
    </font>
    <font>
      <i/>
      <sz val="11"/>
      <color theme="1"/>
      <name val="Arial"/>
      <family val="2"/>
    </font>
    <font>
      <sz val="8"/>
      <color rgb="FF000000"/>
      <name val="Segoe UI"/>
      <family val="2"/>
    </font>
    <font>
      <sz val="10"/>
      <color rgb="FFFEDEDE"/>
      <name val="Arial"/>
      <family val="2"/>
    </font>
    <font>
      <sz val="9"/>
      <color rgb="FFF9A5A5"/>
      <name val="Arial"/>
      <family val="2"/>
    </font>
    <font>
      <b/>
      <sz val="13"/>
      <color theme="1"/>
      <name val="Arial Black"/>
      <family val="2"/>
    </font>
    <font>
      <sz val="10"/>
      <color rgb="FF4B5AA5"/>
      <name val="Arial Black"/>
      <family val="2"/>
    </font>
    <font>
      <sz val="10"/>
      <color rgb="FFA09B9B"/>
      <name val="Arial Black"/>
      <family val="2"/>
    </font>
    <font>
      <sz val="10"/>
      <color rgb="FFEB4B4B"/>
      <name val="Arial Black"/>
      <family val="2"/>
    </font>
    <font>
      <sz val="10"/>
      <color rgb="FFD7B964"/>
      <name val="Arial Black"/>
      <family val="2"/>
    </font>
    <font>
      <sz val="10"/>
      <color rgb="FFC3AAD2"/>
      <name val="Arial Black"/>
      <family val="2"/>
    </font>
    <font>
      <sz val="10"/>
      <color rgb="FF9BB4C8"/>
      <name val="Arial Black"/>
      <family val="2"/>
    </font>
    <font>
      <sz val="12"/>
      <color theme="1"/>
      <name val="Arial Black"/>
      <family val="2"/>
    </font>
    <font>
      <b/>
      <sz val="10"/>
      <color theme="0"/>
      <name val="Arial Black"/>
      <family val="2"/>
    </font>
    <font>
      <b/>
      <sz val="15"/>
      <color theme="0"/>
      <name val="Arial Black"/>
      <family val="2"/>
    </font>
    <font>
      <b/>
      <sz val="9"/>
      <color theme="0"/>
      <name val="Arial Black"/>
      <family val="2"/>
    </font>
    <font>
      <sz val="10"/>
      <color theme="0"/>
      <name val="Arial Black"/>
      <family val="2"/>
    </font>
    <font>
      <sz val="10"/>
      <color rgb="FFFFFFE7"/>
      <name val="Arial"/>
      <family val="2"/>
    </font>
    <font>
      <sz val="9"/>
      <color rgb="FFFFEFC3"/>
      <name val="Arial"/>
      <family val="2"/>
    </font>
  </fonts>
  <fills count="3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E6"/>
        <bgColor indexed="64"/>
      </patternFill>
    </fill>
    <fill>
      <patternFill patternType="solid">
        <fgColor rgb="FFFFEFC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7F3FD"/>
        <bgColor indexed="64"/>
      </patternFill>
    </fill>
    <fill>
      <patternFill patternType="solid">
        <fgColor theme="5" tint="0.39997558519241921"/>
        <bgColor indexed="64"/>
      </patternFill>
    </fill>
    <fill>
      <patternFill patternType="solid">
        <fgColor rgb="FF4B5AA5"/>
        <bgColor indexed="64"/>
      </patternFill>
    </fill>
    <fill>
      <patternFill patternType="solid">
        <fgColor rgb="FF9BB4C8"/>
        <bgColor indexed="64"/>
      </patternFill>
    </fill>
    <fill>
      <patternFill patternType="solid">
        <fgColor rgb="FFCCDFEE"/>
        <bgColor indexed="64"/>
      </patternFill>
    </fill>
    <fill>
      <patternFill patternType="solid">
        <fgColor rgb="FFACC4D8"/>
        <bgColor indexed="64"/>
      </patternFill>
    </fill>
    <fill>
      <patternFill patternType="solid">
        <fgColor rgb="FFEB4B4B"/>
        <bgColor indexed="64"/>
      </patternFill>
    </fill>
    <fill>
      <patternFill patternType="solid">
        <fgColor rgb="FFF9A5A5"/>
        <bgColor indexed="64"/>
      </patternFill>
    </fill>
    <fill>
      <patternFill patternType="solid">
        <fgColor rgb="FFFEDEDE"/>
        <bgColor indexed="64"/>
      </patternFill>
    </fill>
    <fill>
      <patternFill patternType="solid">
        <fgColor rgb="FFD7B964"/>
        <bgColor indexed="64"/>
      </patternFill>
    </fill>
    <fill>
      <patternFill patternType="solid">
        <fgColor rgb="FFC3AAD2"/>
        <bgColor indexed="64"/>
      </patternFill>
    </fill>
    <fill>
      <patternFill patternType="solid">
        <fgColor rgb="FFDDCDE7"/>
        <bgColor indexed="64"/>
      </patternFill>
    </fill>
    <fill>
      <patternFill patternType="solid">
        <fgColor rgb="FFF2E9F7"/>
        <bgColor indexed="64"/>
      </patternFill>
    </fill>
    <fill>
      <patternFill patternType="solid">
        <fgColor rgb="FFBED4E6"/>
        <bgColor indexed="64"/>
      </patternFill>
    </fill>
    <fill>
      <patternFill patternType="solid">
        <fgColor rgb="FFE8F1F8"/>
        <bgColor indexed="64"/>
      </patternFill>
    </fill>
    <fill>
      <patternFill patternType="solid">
        <fgColor rgb="FFA09B9B"/>
        <bgColor indexed="64"/>
      </patternFill>
    </fill>
    <fill>
      <patternFill patternType="solid">
        <fgColor rgb="FFF0F0F0"/>
        <bgColor indexed="64"/>
      </patternFill>
    </fill>
    <fill>
      <patternFill patternType="solid">
        <fgColor rgb="FFFFFFE7"/>
        <bgColor indexed="64"/>
      </patternFill>
    </fill>
    <fill>
      <patternFill patternType="solid">
        <fgColor theme="0" tint="-0.249977111117893"/>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bottom style="double">
        <color auto="1"/>
      </bottom>
      <diagonal/>
    </border>
    <border>
      <left/>
      <right style="hair">
        <color auto="1"/>
      </right>
      <top/>
      <bottom/>
      <diagonal/>
    </border>
    <border>
      <left style="hair">
        <color auto="1"/>
      </left>
      <right style="hair">
        <color auto="1"/>
      </right>
      <top/>
      <bottom/>
      <diagonal/>
    </border>
    <border>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style="medium">
        <color auto="1"/>
      </left>
      <right/>
      <top style="thin">
        <color auto="1"/>
      </top>
      <bottom style="hair">
        <color auto="1"/>
      </bottom>
      <diagonal/>
    </border>
    <border>
      <left style="medium">
        <color auto="1"/>
      </left>
      <right/>
      <top style="thin">
        <color auto="1"/>
      </top>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auto="1"/>
      </bottom>
      <diagonal/>
    </border>
    <border>
      <left/>
      <right/>
      <top style="double">
        <color auto="1"/>
      </top>
      <bottom/>
      <diagonal/>
    </border>
  </borders>
  <cellStyleXfs count="4">
    <xf numFmtId="0" fontId="0" fillId="0" borderId="0"/>
    <xf numFmtId="44" fontId="3" fillId="0" borderId="0" applyFont="0" applyFill="0" applyBorder="0" applyAlignment="0" applyProtection="0"/>
    <xf numFmtId="0" fontId="16" fillId="0" borderId="0"/>
    <xf numFmtId="9" fontId="3" fillId="0" borderId="0" applyFont="0" applyFill="0" applyBorder="0" applyAlignment="0" applyProtection="0"/>
  </cellStyleXfs>
  <cellXfs count="351">
    <xf numFmtId="0" fontId="0" fillId="0" borderId="0" xfId="0"/>
    <xf numFmtId="0" fontId="6" fillId="3" borderId="1" xfId="0" applyFont="1" applyFill="1" applyBorder="1"/>
    <xf numFmtId="0" fontId="6" fillId="3" borderId="2" xfId="0" applyFont="1" applyFill="1" applyBorder="1"/>
    <xf numFmtId="0" fontId="6" fillId="3" borderId="3" xfId="0" applyFont="1" applyFill="1" applyBorder="1"/>
    <xf numFmtId="0" fontId="5" fillId="0" borderId="0" xfId="0" applyFont="1"/>
    <xf numFmtId="165" fontId="5" fillId="2" borderId="12" xfId="1" applyNumberFormat="1" applyFont="1" applyFill="1" applyBorder="1" applyAlignment="1">
      <alignment horizontal="center"/>
    </xf>
    <xf numFmtId="165" fontId="5" fillId="2" borderId="8" xfId="1" applyNumberFormat="1" applyFont="1" applyFill="1" applyBorder="1" applyAlignment="1">
      <alignment horizontal="center"/>
    </xf>
    <xf numFmtId="165" fontId="5" fillId="2" borderId="13" xfId="1" applyNumberFormat="1" applyFont="1" applyFill="1" applyBorder="1" applyAlignment="1">
      <alignment horizontal="center"/>
    </xf>
    <xf numFmtId="165" fontId="5" fillId="2" borderId="11" xfId="1" applyNumberFormat="1" applyFont="1" applyFill="1" applyBorder="1" applyAlignment="1">
      <alignment horizontal="center"/>
    </xf>
    <xf numFmtId="165" fontId="5" fillId="2" borderId="14" xfId="1" applyNumberFormat="1" applyFont="1" applyFill="1" applyBorder="1" applyAlignment="1">
      <alignment horizontal="center"/>
    </xf>
    <xf numFmtId="0" fontId="5" fillId="2" borderId="0" xfId="0" applyFont="1" applyFill="1" applyBorder="1" applyAlignment="1"/>
    <xf numFmtId="165" fontId="5" fillId="2" borderId="0" xfId="1" applyNumberFormat="1" applyFont="1" applyFill="1" applyBorder="1" applyAlignment="1">
      <alignment horizontal="center"/>
    </xf>
    <xf numFmtId="0" fontId="5" fillId="2" borderId="15" xfId="0" applyFont="1" applyFill="1" applyBorder="1"/>
    <xf numFmtId="0" fontId="5" fillId="2" borderId="9" xfId="0" applyFont="1" applyFill="1" applyBorder="1"/>
    <xf numFmtId="0" fontId="5" fillId="2" borderId="10" xfId="0" applyFont="1" applyFill="1" applyBorder="1"/>
    <xf numFmtId="165" fontId="6" fillId="3" borderId="3" xfId="1" applyNumberFormat="1" applyFont="1" applyFill="1" applyBorder="1" applyAlignment="1">
      <alignment horizontal="center"/>
    </xf>
    <xf numFmtId="165" fontId="5" fillId="2" borderId="18" xfId="1" applyNumberFormat="1" applyFont="1" applyFill="1" applyBorder="1" applyAlignment="1">
      <alignment horizontal="center"/>
    </xf>
    <xf numFmtId="9" fontId="0" fillId="0" borderId="0" xfId="0" applyNumberFormat="1"/>
    <xf numFmtId="0" fontId="4" fillId="2" borderId="0" xfId="0" applyFont="1" applyFill="1" applyBorder="1" applyAlignment="1" applyProtection="1">
      <alignment horizontal="left" wrapText="1"/>
    </xf>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right" vertical="center"/>
    </xf>
    <xf numFmtId="0" fontId="11" fillId="0" borderId="0" xfId="0" applyFont="1" applyProtection="1"/>
    <xf numFmtId="0" fontId="11" fillId="0" borderId="0" xfId="0" applyFont="1" applyAlignment="1" applyProtection="1">
      <alignment wrapText="1" shrinkToFit="1"/>
    </xf>
    <xf numFmtId="0" fontId="13" fillId="0" borderId="0" xfId="0" applyFont="1" applyProtection="1"/>
    <xf numFmtId="0" fontId="5" fillId="0" borderId="0" xfId="0" applyFont="1" applyAlignment="1" applyProtection="1">
      <alignment horizontal="right" vertical="center"/>
    </xf>
    <xf numFmtId="0" fontId="5" fillId="0" borderId="0" xfId="0" applyFont="1" applyAlignment="1" applyProtection="1">
      <alignment horizontal="right"/>
    </xf>
    <xf numFmtId="0" fontId="5" fillId="2" borderId="0" xfId="0" applyFont="1" applyFill="1" applyBorder="1" applyAlignment="1">
      <alignment horizontal="left" vertical="center" wrapText="1" indent="4"/>
    </xf>
    <xf numFmtId="164" fontId="11" fillId="0" borderId="0" xfId="0" applyNumberFormat="1" applyFont="1" applyProtection="1"/>
    <xf numFmtId="0" fontId="12" fillId="0" borderId="0" xfId="0" applyFont="1" applyAlignment="1" applyProtection="1">
      <alignment horizontal="left"/>
    </xf>
    <xf numFmtId="0" fontId="5" fillId="2" borderId="22"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44" fontId="0" fillId="0" borderId="0" xfId="1" applyNumberFormat="1" applyFont="1" applyFill="1" applyBorder="1"/>
    <xf numFmtId="44" fontId="4" fillId="2" borderId="0" xfId="1" applyNumberFormat="1" applyFont="1" applyFill="1" applyBorder="1" applyAlignment="1" applyProtection="1">
      <alignment horizontal="center" wrapText="1" shrinkToFit="1"/>
    </xf>
    <xf numFmtId="44" fontId="5" fillId="2" borderId="0" xfId="1" applyNumberFormat="1" applyFont="1" applyFill="1" applyBorder="1" applyAlignment="1" applyProtection="1">
      <alignment horizontal="center" vertical="center" wrapText="1" shrinkToFit="1"/>
    </xf>
    <xf numFmtId="44" fontId="5" fillId="2" borderId="0" xfId="1" quotePrefix="1" applyNumberFormat="1" applyFont="1" applyFill="1" applyBorder="1" applyAlignment="1" applyProtection="1">
      <alignment horizontal="center" vertical="center" wrapText="1" shrinkToFit="1"/>
    </xf>
    <xf numFmtId="44" fontId="5" fillId="4" borderId="0" xfId="1" applyNumberFormat="1" applyFont="1" applyFill="1" applyBorder="1" applyAlignment="1" applyProtection="1">
      <alignment horizontal="center" vertical="center" wrapText="1" shrinkToFit="1"/>
    </xf>
    <xf numFmtId="44" fontId="5" fillId="4" borderId="0" xfId="1" quotePrefix="1" applyNumberFormat="1" applyFont="1" applyFill="1" applyBorder="1" applyAlignment="1" applyProtection="1">
      <alignment horizontal="center" vertical="center" wrapText="1" shrinkToFit="1"/>
    </xf>
    <xf numFmtId="44" fontId="7" fillId="2" borderId="0" xfId="1" applyNumberFormat="1" applyFont="1" applyFill="1" applyBorder="1" applyAlignment="1" applyProtection="1">
      <alignment horizontal="center" vertical="center" wrapText="1" shrinkToFit="1"/>
    </xf>
    <xf numFmtId="44" fontId="5" fillId="4" borderId="22" xfId="1" applyNumberFormat="1" applyFont="1" applyFill="1" applyBorder="1" applyAlignment="1" applyProtection="1">
      <alignment horizontal="center" vertical="center" wrapText="1" shrinkToFit="1"/>
    </xf>
    <xf numFmtId="44" fontId="5" fillId="4" borderId="22" xfId="1" quotePrefix="1" applyNumberFormat="1" applyFont="1" applyFill="1" applyBorder="1" applyAlignment="1" applyProtection="1">
      <alignment horizontal="center" vertical="center" wrapText="1" shrinkToFit="1"/>
    </xf>
    <xf numFmtId="44" fontId="5" fillId="2" borderId="0" xfId="1" applyNumberFormat="1" applyFont="1" applyFill="1" applyBorder="1" applyAlignment="1" applyProtection="1">
      <alignment horizontal="center" wrapText="1" shrinkToFit="1"/>
    </xf>
    <xf numFmtId="44" fontId="18" fillId="2" borderId="0" xfId="1" applyNumberFormat="1" applyFont="1" applyFill="1" applyBorder="1" applyAlignment="1" applyProtection="1">
      <alignment horizontal="center" vertical="center" wrapText="1" shrinkToFit="1"/>
    </xf>
    <xf numFmtId="44" fontId="18" fillId="4" borderId="0" xfId="1" applyNumberFormat="1" applyFont="1" applyFill="1" applyBorder="1" applyAlignment="1" applyProtection="1">
      <alignment horizontal="center" vertical="center" wrapText="1" shrinkToFit="1"/>
    </xf>
    <xf numFmtId="44" fontId="18" fillId="4" borderId="22" xfId="1" applyNumberFormat="1" applyFont="1" applyFill="1" applyBorder="1" applyAlignment="1" applyProtection="1">
      <alignment horizontal="center" vertical="center" wrapText="1" shrinkToFit="1"/>
    </xf>
    <xf numFmtId="44" fontId="18" fillId="2" borderId="0" xfId="1" applyNumberFormat="1" applyFont="1" applyFill="1" applyBorder="1" applyAlignment="1" applyProtection="1">
      <alignment horizontal="center" wrapText="1" shrinkToFit="1"/>
    </xf>
    <xf numFmtId="44" fontId="5" fillId="2" borderId="22" xfId="1" applyNumberFormat="1" applyFont="1" applyFill="1" applyBorder="1" applyAlignment="1" applyProtection="1">
      <alignment horizontal="center" vertical="center" wrapText="1" shrinkToFit="1"/>
    </xf>
    <xf numFmtId="44" fontId="5" fillId="2" borderId="22" xfId="1" quotePrefix="1" applyNumberFormat="1" applyFont="1" applyFill="1" applyBorder="1" applyAlignment="1" applyProtection="1">
      <alignment horizontal="center" vertical="center" wrapText="1" shrinkToFit="1"/>
    </xf>
    <xf numFmtId="44" fontId="5" fillId="2" borderId="0" xfId="1" applyNumberFormat="1" applyFont="1" applyFill="1" applyBorder="1" applyAlignment="1" applyProtection="1">
      <alignment horizontal="center" vertical="center" shrinkToFit="1"/>
    </xf>
    <xf numFmtId="0" fontId="13" fillId="0" borderId="0" xfId="0" applyFont="1" applyBorder="1" applyProtection="1"/>
    <xf numFmtId="44" fontId="19" fillId="2" borderId="0" xfId="1" quotePrefix="1" applyNumberFormat="1" applyFont="1" applyFill="1" applyBorder="1" applyAlignment="1" applyProtection="1">
      <alignment horizontal="center" vertical="center" wrapText="1" shrinkToFit="1"/>
    </xf>
    <xf numFmtId="44" fontId="19" fillId="2" borderId="22" xfId="1" quotePrefix="1" applyNumberFormat="1" applyFont="1" applyFill="1" applyBorder="1" applyAlignment="1" applyProtection="1">
      <alignment horizontal="center" vertical="center" wrapText="1" shrinkToFit="1"/>
    </xf>
    <xf numFmtId="0" fontId="14" fillId="2" borderId="0" xfId="0" applyFont="1" applyFill="1" applyBorder="1" applyAlignment="1" applyProtection="1">
      <alignment horizontal="right" vertical="center"/>
    </xf>
    <xf numFmtId="44" fontId="11" fillId="2" borderId="0" xfId="1" applyNumberFormat="1" applyFont="1" applyFill="1" applyBorder="1" applyAlignment="1" applyProtection="1">
      <alignment horizontal="center" vertical="center" wrapText="1" shrinkToFit="1"/>
    </xf>
    <xf numFmtId="0" fontId="11" fillId="0" borderId="0" xfId="0" applyFont="1" applyAlignment="1" applyProtection="1"/>
    <xf numFmtId="0" fontId="4" fillId="0" borderId="0" xfId="0" applyFont="1" applyAlignment="1" applyProtection="1">
      <alignment vertical="center"/>
    </xf>
    <xf numFmtId="0" fontId="9" fillId="2"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44" fontId="7" fillId="2" borderId="22" xfId="1" applyNumberFormat="1"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4" borderId="0"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6" borderId="24" xfId="0" applyFont="1" applyFill="1" applyBorder="1" applyAlignment="1" applyProtection="1">
      <alignment horizontal="center" vertical="center" wrapText="1" shrinkToFit="1"/>
      <protection locked="0"/>
    </xf>
    <xf numFmtId="0" fontId="5" fillId="7" borderId="24" xfId="0" applyFont="1" applyFill="1" applyBorder="1" applyAlignment="1" applyProtection="1">
      <alignment horizontal="center" vertical="center" wrapText="1" shrinkToFit="1"/>
      <protection locked="0"/>
    </xf>
    <xf numFmtId="0" fontId="5" fillId="7" borderId="26" xfId="0" applyFont="1" applyFill="1" applyBorder="1" applyAlignment="1" applyProtection="1">
      <alignment horizontal="center" vertical="center" wrapText="1" shrinkToFit="1"/>
      <protection locked="0"/>
    </xf>
    <xf numFmtId="0" fontId="4" fillId="2" borderId="20" xfId="0" applyFont="1" applyFill="1" applyBorder="1" applyAlignment="1" applyProtection="1">
      <alignment horizontal="left" vertical="center" wrapText="1" indent="1"/>
      <protection locked="0"/>
    </xf>
    <xf numFmtId="0" fontId="6" fillId="2" borderId="0" xfId="0" applyFont="1" applyFill="1" applyBorder="1" applyAlignment="1" applyProtection="1">
      <alignment vertical="center" wrapText="1"/>
      <protection locked="0"/>
    </xf>
    <xf numFmtId="0" fontId="0" fillId="0" borderId="21" xfId="0" applyBorder="1" applyProtection="1">
      <protection locked="0"/>
    </xf>
    <xf numFmtId="0" fontId="6" fillId="3" borderId="29" xfId="0" applyFont="1" applyFill="1" applyBorder="1"/>
    <xf numFmtId="165" fontId="5" fillId="2" borderId="28" xfId="1" applyNumberFormat="1" applyFont="1" applyFill="1" applyBorder="1" applyAlignment="1">
      <alignment horizontal="center"/>
    </xf>
    <xf numFmtId="166" fontId="5" fillId="2" borderId="18" xfId="1" applyNumberFormat="1" applyFont="1" applyFill="1" applyBorder="1" applyAlignment="1">
      <alignment horizontal="center"/>
    </xf>
    <xf numFmtId="165" fontId="5" fillId="4" borderId="28" xfId="1" applyNumberFormat="1" applyFont="1" applyFill="1" applyBorder="1" applyAlignment="1">
      <alignment horizontal="center"/>
    </xf>
    <xf numFmtId="0" fontId="5" fillId="2" borderId="4" xfId="0" quotePrefix="1" applyFont="1" applyFill="1" applyBorder="1" applyAlignment="1">
      <alignment horizontal="left"/>
    </xf>
    <xf numFmtId="0" fontId="5" fillId="2" borderId="17" xfId="0" quotePrefix="1" applyFont="1" applyFill="1" applyBorder="1" applyAlignment="1">
      <alignment horizontal="left"/>
    </xf>
    <xf numFmtId="0" fontId="5" fillId="2" borderId="9" xfId="0" quotePrefix="1" applyFont="1" applyFill="1" applyBorder="1" applyAlignment="1">
      <alignment horizontal="left"/>
    </xf>
    <xf numFmtId="0" fontId="5" fillId="2" borderId="10" xfId="0" quotePrefix="1" applyFont="1" applyFill="1" applyBorder="1" applyAlignment="1">
      <alignment horizontal="left"/>
    </xf>
    <xf numFmtId="166" fontId="5" fillId="4" borderId="18" xfId="1" applyNumberFormat="1" applyFont="1" applyFill="1" applyBorder="1" applyAlignment="1">
      <alignment horizontal="center"/>
    </xf>
    <xf numFmtId="0" fontId="0" fillId="11" borderId="0" xfId="0" applyFill="1"/>
    <xf numFmtId="0" fontId="0" fillId="0" borderId="0" xfId="0" applyFill="1"/>
    <xf numFmtId="0" fontId="6" fillId="0" borderId="1" xfId="0" applyFont="1" applyFill="1" applyBorder="1"/>
    <xf numFmtId="0" fontId="16" fillId="0" borderId="0" xfId="2" applyFill="1"/>
    <xf numFmtId="44" fontId="3" fillId="0" borderId="0" xfId="1" applyFill="1"/>
    <xf numFmtId="44" fontId="0" fillId="0" borderId="7" xfId="1" applyNumberFormat="1" applyFont="1" applyFill="1" applyBorder="1"/>
    <xf numFmtId="0" fontId="5" fillId="11" borderId="9" xfId="0" applyFont="1" applyFill="1" applyBorder="1" applyAlignment="1">
      <alignment vertical="center" wrapText="1"/>
    </xf>
    <xf numFmtId="6" fontId="5" fillId="11" borderId="2" xfId="0" applyNumberFormat="1" applyFont="1" applyFill="1" applyBorder="1" applyAlignment="1">
      <alignment horizontal="center" vertical="center" wrapText="1"/>
    </xf>
    <xf numFmtId="165" fontId="5" fillId="11" borderId="5" xfId="1" applyNumberFormat="1" applyFont="1" applyFill="1" applyBorder="1" applyAlignment="1">
      <alignment horizontal="center" vertical="center" wrapText="1"/>
    </xf>
    <xf numFmtId="165" fontId="5" fillId="11" borderId="6" xfId="0" applyNumberFormat="1" applyFont="1" applyFill="1" applyBorder="1" applyAlignment="1">
      <alignment horizontal="center" vertical="center" wrapText="1"/>
    </xf>
    <xf numFmtId="165" fontId="5" fillId="11" borderId="18" xfId="1" applyNumberFormat="1" applyFont="1" applyFill="1" applyBorder="1" applyAlignment="1">
      <alignment horizontal="center" vertical="center"/>
    </xf>
    <xf numFmtId="0" fontId="5" fillId="11" borderId="7" xfId="0" applyFont="1" applyFill="1" applyBorder="1" applyAlignment="1">
      <alignment vertical="center" wrapText="1"/>
    </xf>
    <xf numFmtId="6" fontId="5" fillId="11" borderId="5" xfId="0" applyNumberFormat="1" applyFont="1" applyFill="1" applyBorder="1" applyAlignment="1">
      <alignment horizontal="center" vertical="center" wrapText="1"/>
    </xf>
    <xf numFmtId="6" fontId="5" fillId="11" borderId="8" xfId="0" applyNumberFormat="1" applyFont="1" applyFill="1" applyBorder="1" applyAlignment="1">
      <alignment horizontal="center" vertical="center" wrapText="1"/>
    </xf>
    <xf numFmtId="0" fontId="5" fillId="11" borderId="4" xfId="0" applyFont="1" applyFill="1" applyBorder="1" applyAlignment="1">
      <alignment vertical="center" wrapText="1"/>
    </xf>
    <xf numFmtId="0" fontId="4" fillId="11" borderId="1" xfId="0" applyFont="1" applyFill="1" applyBorder="1" applyAlignment="1">
      <alignment vertical="center" wrapText="1"/>
    </xf>
    <xf numFmtId="165" fontId="5" fillId="11" borderId="2" xfId="0" applyNumberFormat="1" applyFont="1" applyFill="1" applyBorder="1" applyAlignment="1">
      <alignment horizontal="center" vertical="center" wrapText="1"/>
    </xf>
    <xf numFmtId="165" fontId="5" fillId="11" borderId="3" xfId="0" applyNumberFormat="1" applyFont="1" applyFill="1" applyBorder="1" applyAlignment="1">
      <alignment horizontal="center" vertical="center" wrapText="1"/>
    </xf>
    <xf numFmtId="0" fontId="4" fillId="8" borderId="4" xfId="0" applyFont="1" applyFill="1" applyBorder="1" applyAlignment="1">
      <alignment vertical="center" wrapText="1"/>
    </xf>
    <xf numFmtId="6" fontId="5" fillId="8" borderId="5" xfId="0" applyNumberFormat="1" applyFont="1" applyFill="1" applyBorder="1" applyAlignment="1">
      <alignment horizontal="center" vertical="center" wrapText="1"/>
    </xf>
    <xf numFmtId="165" fontId="5" fillId="8" borderId="5" xfId="1" applyNumberFormat="1" applyFont="1" applyFill="1" applyBorder="1" applyAlignment="1">
      <alignment horizontal="center" vertical="center" wrapText="1"/>
    </xf>
    <xf numFmtId="165" fontId="5" fillId="8" borderId="6" xfId="0" applyNumberFormat="1" applyFont="1" applyFill="1" applyBorder="1" applyAlignment="1">
      <alignment horizontal="center" vertical="center" wrapText="1"/>
    </xf>
    <xf numFmtId="0" fontId="0" fillId="8" borderId="0" xfId="0" applyFill="1"/>
    <xf numFmtId="165" fontId="5" fillId="8" borderId="18" xfId="1" applyNumberFormat="1" applyFont="1" applyFill="1" applyBorder="1" applyAlignment="1">
      <alignment horizontal="center" vertical="center"/>
    </xf>
    <xf numFmtId="0" fontId="5" fillId="8" borderId="9" xfId="0" applyFont="1" applyFill="1" applyBorder="1" applyAlignment="1">
      <alignment vertical="center" wrapText="1"/>
    </xf>
    <xf numFmtId="6" fontId="5" fillId="8" borderId="8" xfId="0" applyNumberFormat="1" applyFont="1" applyFill="1" applyBorder="1" applyAlignment="1">
      <alignment horizontal="center" vertical="center" wrapText="1"/>
    </xf>
    <xf numFmtId="0" fontId="4" fillId="12" borderId="4" xfId="0" applyFont="1" applyFill="1" applyBorder="1" applyAlignment="1">
      <alignment vertical="center" wrapText="1"/>
    </xf>
    <xf numFmtId="6" fontId="5" fillId="12" borderId="2" xfId="0" applyNumberFormat="1" applyFont="1" applyFill="1" applyBorder="1" applyAlignment="1">
      <alignment horizontal="center" vertical="center" wrapText="1"/>
    </xf>
    <xf numFmtId="165" fontId="5" fillId="12" borderId="5" xfId="1" applyNumberFormat="1" applyFont="1" applyFill="1" applyBorder="1" applyAlignment="1">
      <alignment horizontal="center" vertical="center" wrapText="1"/>
    </xf>
    <xf numFmtId="165" fontId="5" fillId="12" borderId="6" xfId="0" applyNumberFormat="1" applyFont="1" applyFill="1" applyBorder="1" applyAlignment="1">
      <alignment horizontal="center" vertical="center" wrapText="1"/>
    </xf>
    <xf numFmtId="0" fontId="0" fillId="12" borderId="0" xfId="0" applyFill="1"/>
    <xf numFmtId="165" fontId="5" fillId="12" borderId="18" xfId="1" applyNumberFormat="1" applyFont="1" applyFill="1" applyBorder="1" applyAlignment="1">
      <alignment horizontal="center" vertical="center"/>
    </xf>
    <xf numFmtId="0" fontId="6" fillId="0" borderId="0" xfId="0" applyFont="1" applyAlignment="1" applyProtection="1"/>
    <xf numFmtId="44" fontId="11" fillId="0" borderId="0" xfId="0" applyNumberFormat="1" applyFont="1" applyProtection="1"/>
    <xf numFmtId="0" fontId="12" fillId="0" borderId="0" xfId="0" applyFont="1" applyAlignment="1" applyProtection="1"/>
    <xf numFmtId="167" fontId="20" fillId="2" borderId="0" xfId="1" applyNumberFormat="1" applyFont="1" applyFill="1" applyAlignment="1" applyProtection="1">
      <alignment horizontal="right"/>
      <protection locked="0"/>
    </xf>
    <xf numFmtId="0" fontId="7" fillId="0" borderId="0" xfId="0" applyFont="1" applyProtection="1"/>
    <xf numFmtId="0" fontId="9" fillId="10" borderId="0" xfId="0" applyFont="1" applyFill="1" applyBorder="1" applyAlignment="1" applyProtection="1">
      <alignment vertical="center" wrapText="1"/>
    </xf>
    <xf numFmtId="0" fontId="9" fillId="9" borderId="0" xfId="0" applyFont="1" applyFill="1" applyBorder="1" applyAlignment="1" applyProtection="1">
      <alignment vertical="center" wrapText="1"/>
    </xf>
    <xf numFmtId="0" fontId="9" fillId="9" borderId="22" xfId="0" applyFont="1" applyFill="1" applyBorder="1" applyAlignment="1" applyProtection="1">
      <alignment vertical="center" wrapText="1"/>
    </xf>
    <xf numFmtId="0" fontId="11" fillId="0" borderId="0" xfId="0" quotePrefix="1" applyFont="1" applyProtection="1"/>
    <xf numFmtId="44" fontId="5" fillId="2" borderId="0" xfId="0" applyNumberFormat="1" applyFont="1" applyFill="1" applyBorder="1" applyAlignment="1" applyProtection="1">
      <alignment vertical="center" wrapText="1"/>
    </xf>
    <xf numFmtId="44" fontId="5" fillId="0" borderId="0" xfId="0" applyNumberFormat="1" applyFont="1" applyProtection="1"/>
    <xf numFmtId="44" fontId="7" fillId="4" borderId="0" xfId="1" applyNumberFormat="1" applyFont="1" applyFill="1" applyBorder="1" applyAlignment="1" applyProtection="1">
      <alignment horizontal="center" vertical="center" wrapText="1" shrinkToFit="1"/>
    </xf>
    <xf numFmtId="167" fontId="20" fillId="2" borderId="0" xfId="1" applyNumberFormat="1" applyFont="1" applyFill="1" applyAlignment="1" applyProtection="1">
      <alignment horizontal="right" indent="1"/>
      <protection locked="0"/>
    </xf>
    <xf numFmtId="0" fontId="9" fillId="6" borderId="0" xfId="0" applyFont="1" applyFill="1" applyBorder="1" applyAlignment="1" applyProtection="1">
      <alignment vertical="center" wrapText="1"/>
      <protection locked="0"/>
    </xf>
    <xf numFmtId="0" fontId="9" fillId="7" borderId="0" xfId="0" applyFont="1" applyFill="1" applyBorder="1" applyAlignment="1" applyProtection="1">
      <alignment vertical="center" wrapText="1"/>
      <protection locked="0"/>
    </xf>
    <xf numFmtId="0" fontId="9" fillId="7" borderId="22" xfId="0" applyFont="1" applyFill="1" applyBorder="1" applyAlignment="1" applyProtection="1">
      <alignment vertical="center" wrapText="1"/>
      <protection locked="0"/>
    </xf>
    <xf numFmtId="165" fontId="5" fillId="2" borderId="5" xfId="1" applyNumberFormat="1" applyFont="1" applyFill="1" applyBorder="1" applyAlignment="1">
      <alignment horizontal="center"/>
    </xf>
    <xf numFmtId="166" fontId="0" fillId="0" borderId="19" xfId="1" applyNumberFormat="1" applyFont="1" applyFill="1" applyBorder="1"/>
    <xf numFmtId="44" fontId="11" fillId="0" borderId="0" xfId="0" quotePrefix="1" applyNumberFormat="1" applyFont="1" applyProtection="1"/>
    <xf numFmtId="44" fontId="0" fillId="0" borderId="0" xfId="0" applyNumberFormat="1"/>
    <xf numFmtId="6" fontId="5" fillId="8" borderId="0" xfId="0" applyNumberFormat="1" applyFont="1" applyFill="1" applyBorder="1" applyAlignment="1">
      <alignment horizontal="center" vertical="center" wrapText="1"/>
    </xf>
    <xf numFmtId="0" fontId="5" fillId="12" borderId="4" xfId="0" applyFont="1" applyFill="1" applyBorder="1" applyAlignment="1">
      <alignment vertical="center" wrapText="1"/>
    </xf>
    <xf numFmtId="0" fontId="17" fillId="2" borderId="0" xfId="0" applyFont="1" applyFill="1" applyAlignment="1" applyProtection="1">
      <alignment horizontal="right" indent="1"/>
    </xf>
    <xf numFmtId="0" fontId="17" fillId="2" borderId="0" xfId="0" applyFont="1" applyFill="1" applyBorder="1" applyAlignment="1" applyProtection="1">
      <alignment horizontal="right" indent="1"/>
    </xf>
    <xf numFmtId="0" fontId="19" fillId="2" borderId="0" xfId="0" applyFont="1" applyFill="1" applyBorder="1" applyAlignment="1" applyProtection="1">
      <alignment horizontal="left" vertical="center"/>
    </xf>
    <xf numFmtId="0" fontId="19" fillId="2" borderId="22" xfId="0" applyFont="1" applyFill="1" applyBorder="1" applyAlignment="1" applyProtection="1">
      <alignment horizontal="left" vertical="center"/>
    </xf>
    <xf numFmtId="165" fontId="5" fillId="11" borderId="0" xfId="1" applyNumberFormat="1" applyFont="1" applyFill="1" applyBorder="1" applyAlignment="1">
      <alignment horizontal="center" vertical="center" wrapText="1"/>
    </xf>
    <xf numFmtId="0" fontId="5" fillId="11" borderId="31" xfId="0" applyFont="1" applyFill="1" applyBorder="1" applyAlignment="1">
      <alignment vertical="center" wrapText="1"/>
    </xf>
    <xf numFmtId="0" fontId="5" fillId="11" borderId="30" xfId="0" applyFont="1" applyFill="1" applyBorder="1" applyAlignment="1">
      <alignment vertical="center" wrapText="1"/>
    </xf>
    <xf numFmtId="0" fontId="5" fillId="11" borderId="32" xfId="0" applyFont="1" applyFill="1" applyBorder="1" applyAlignment="1">
      <alignment vertical="center" wrapText="1"/>
    </xf>
    <xf numFmtId="0" fontId="5" fillId="11" borderId="0" xfId="0" applyFont="1" applyFill="1" applyBorder="1" applyAlignment="1">
      <alignment vertical="center" wrapText="1"/>
    </xf>
    <xf numFmtId="0" fontId="8" fillId="5" borderId="0" xfId="0" applyFont="1" applyFill="1" applyBorder="1" applyAlignment="1" applyProtection="1">
      <alignment horizontal="left" vertical="center" wrapText="1" indent="1"/>
    </xf>
    <xf numFmtId="0" fontId="9" fillId="7" borderId="24" xfId="0" applyFont="1" applyFill="1" applyBorder="1" applyAlignment="1" applyProtection="1">
      <alignment vertical="center" wrapText="1"/>
      <protection locked="0"/>
    </xf>
    <xf numFmtId="44" fontId="18" fillId="2" borderId="22" xfId="1" applyNumberFormat="1" applyFont="1" applyFill="1" applyBorder="1" applyAlignment="1" applyProtection="1">
      <alignment horizontal="center" vertical="center" wrapText="1" shrinkToFit="1"/>
    </xf>
    <xf numFmtId="0" fontId="5" fillId="2" borderId="22" xfId="0" applyFont="1" applyFill="1" applyBorder="1" applyAlignment="1" applyProtection="1">
      <alignment horizontal="center" vertical="center" wrapText="1" shrinkToFit="1"/>
    </xf>
    <xf numFmtId="44" fontId="19" fillId="2" borderId="35" xfId="1" quotePrefix="1" applyNumberFormat="1" applyFont="1" applyFill="1" applyBorder="1" applyAlignment="1" applyProtection="1">
      <alignment horizontal="center" vertical="center" wrapText="1" shrinkToFit="1"/>
    </xf>
    <xf numFmtId="44" fontId="19" fillId="2" borderId="36" xfId="1" quotePrefix="1" applyNumberFormat="1" applyFont="1" applyFill="1" applyBorder="1" applyAlignment="1" applyProtection="1">
      <alignment horizontal="center" vertical="center" wrapText="1" shrinkToFit="1"/>
    </xf>
    <xf numFmtId="44" fontId="11" fillId="2" borderId="33" xfId="1" applyNumberFormat="1" applyFont="1" applyFill="1" applyBorder="1" applyAlignment="1" applyProtection="1">
      <alignment horizontal="center" vertical="center" wrapText="1" shrinkToFit="1"/>
    </xf>
    <xf numFmtId="0" fontId="5" fillId="2" borderId="7" xfId="0" quotePrefix="1" applyFont="1" applyFill="1" applyBorder="1" applyAlignment="1">
      <alignment horizontal="left"/>
    </xf>
    <xf numFmtId="0" fontId="0" fillId="0" borderId="20" xfId="0" applyBorder="1" applyAlignment="1"/>
    <xf numFmtId="166" fontId="5" fillId="2" borderId="17" xfId="1" applyNumberFormat="1" applyFont="1" applyFill="1" applyBorder="1" applyAlignment="1">
      <alignment horizontal="center"/>
    </xf>
    <xf numFmtId="0" fontId="0" fillId="0" borderId="7" xfId="0" applyBorder="1"/>
    <xf numFmtId="0" fontId="5" fillId="2" borderId="0" xfId="0" applyFont="1" applyFill="1" applyBorder="1" applyAlignment="1" applyProtection="1">
      <alignment vertical="center" wrapText="1"/>
    </xf>
    <xf numFmtId="0" fontId="5" fillId="2" borderId="0" xfId="0" applyFont="1" applyFill="1" applyBorder="1" applyAlignment="1" applyProtection="1">
      <alignment wrapText="1"/>
    </xf>
    <xf numFmtId="0" fontId="10" fillId="13" borderId="0" xfId="0" applyFont="1" applyFill="1" applyBorder="1" applyAlignment="1" applyProtection="1">
      <alignment horizontal="center" vertical="center"/>
    </xf>
    <xf numFmtId="0" fontId="10" fillId="13" borderId="0" xfId="0" applyFont="1" applyFill="1" applyBorder="1" applyAlignment="1" applyProtection="1">
      <alignment horizontal="center" vertical="center" wrapText="1"/>
    </xf>
    <xf numFmtId="0" fontId="10" fillId="13" borderId="0" xfId="0" applyFont="1" applyFill="1" applyBorder="1" applyAlignment="1" applyProtection="1">
      <alignment vertical="center"/>
    </xf>
    <xf numFmtId="0" fontId="9" fillId="15" borderId="23" xfId="0" applyFont="1" applyFill="1" applyBorder="1" applyAlignment="1" applyProtection="1">
      <alignment vertical="center" wrapText="1"/>
      <protection locked="0"/>
    </xf>
    <xf numFmtId="0" fontId="5" fillId="15" borderId="24" xfId="0" applyFont="1" applyFill="1" applyBorder="1" applyAlignment="1" applyProtection="1">
      <alignment horizontal="center" vertical="center" wrapText="1" shrinkToFit="1"/>
      <protection locked="0"/>
    </xf>
    <xf numFmtId="0" fontId="9" fillId="16" borderId="23" xfId="0" applyFont="1" applyFill="1" applyBorder="1" applyAlignment="1" applyProtection="1">
      <alignment vertical="center" wrapText="1"/>
      <protection locked="0"/>
    </xf>
    <xf numFmtId="0" fontId="5" fillId="16" borderId="24" xfId="0" applyFont="1" applyFill="1" applyBorder="1" applyAlignment="1" applyProtection="1">
      <alignment horizontal="center" vertical="center" wrapText="1" shrinkToFit="1"/>
      <protection locked="0"/>
    </xf>
    <xf numFmtId="0" fontId="9" fillId="16" borderId="25" xfId="0" applyFont="1" applyFill="1" applyBorder="1" applyAlignment="1" applyProtection="1">
      <alignment vertical="center" wrapText="1"/>
      <protection locked="0"/>
    </xf>
    <xf numFmtId="0" fontId="5" fillId="16" borderId="26" xfId="0" applyFont="1" applyFill="1" applyBorder="1" applyAlignment="1" applyProtection="1">
      <alignment horizontal="center" vertical="center" wrapText="1" shrinkToFit="1"/>
      <protection locked="0"/>
    </xf>
    <xf numFmtId="0" fontId="10" fillId="17" borderId="0" xfId="0" applyFont="1" applyFill="1" applyBorder="1" applyAlignment="1" applyProtection="1">
      <alignment horizontal="center" vertical="center"/>
    </xf>
    <xf numFmtId="0" fontId="10" fillId="17" borderId="0" xfId="0" applyFont="1" applyFill="1" applyBorder="1" applyAlignment="1" applyProtection="1">
      <alignment horizontal="center" vertical="center" wrapText="1"/>
    </xf>
    <xf numFmtId="0" fontId="10" fillId="17" borderId="0" xfId="0" applyFont="1" applyFill="1" applyBorder="1" applyAlignment="1" applyProtection="1">
      <alignment vertical="center"/>
    </xf>
    <xf numFmtId="0" fontId="8" fillId="17" borderId="0" xfId="0" applyFont="1" applyFill="1" applyBorder="1" applyAlignment="1" applyProtection="1">
      <alignment horizontal="left" vertical="center" wrapText="1" indent="1"/>
    </xf>
    <xf numFmtId="0" fontId="10" fillId="17" borderId="0" xfId="0" applyFont="1" applyFill="1" applyBorder="1" applyAlignment="1" applyProtection="1">
      <alignment horizontal="left" vertical="center" wrapText="1" indent="1"/>
    </xf>
    <xf numFmtId="0" fontId="9" fillId="18" borderId="0" xfId="0" applyFont="1" applyFill="1" applyBorder="1" applyAlignment="1" applyProtection="1">
      <alignment vertical="center" wrapText="1"/>
      <protection locked="0"/>
    </xf>
    <xf numFmtId="0" fontId="9" fillId="18" borderId="24" xfId="0" applyFont="1" applyFill="1" applyBorder="1" applyAlignment="1" applyProtection="1">
      <alignment vertical="center" wrapText="1"/>
      <protection locked="0"/>
    </xf>
    <xf numFmtId="0" fontId="5" fillId="18" borderId="24" xfId="0" applyFont="1" applyFill="1" applyBorder="1" applyAlignment="1" applyProtection="1">
      <alignment horizontal="center" vertical="center" wrapText="1" shrinkToFit="1"/>
      <protection locked="0"/>
    </xf>
    <xf numFmtId="0" fontId="9" fillId="19" borderId="0" xfId="0" applyFont="1" applyFill="1" applyBorder="1" applyAlignment="1" applyProtection="1">
      <alignment vertical="center" wrapText="1"/>
      <protection locked="0"/>
    </xf>
    <xf numFmtId="0" fontId="9" fillId="19" borderId="24" xfId="0" applyFont="1" applyFill="1" applyBorder="1" applyAlignment="1" applyProtection="1">
      <alignment vertical="center" wrapText="1"/>
      <protection locked="0"/>
    </xf>
    <xf numFmtId="0" fontId="5" fillId="19" borderId="24" xfId="0" applyFont="1" applyFill="1" applyBorder="1" applyAlignment="1" applyProtection="1">
      <alignment horizontal="center" vertical="center" wrapText="1" shrinkToFit="1"/>
      <protection locked="0"/>
    </xf>
    <xf numFmtId="0" fontId="9" fillId="19" borderId="22" xfId="0" applyFont="1" applyFill="1" applyBorder="1" applyAlignment="1" applyProtection="1">
      <alignment vertical="center" wrapText="1"/>
      <protection locked="0"/>
    </xf>
    <xf numFmtId="0" fontId="5" fillId="19" borderId="26" xfId="0" applyFont="1" applyFill="1" applyBorder="1" applyAlignment="1" applyProtection="1">
      <alignment horizontal="center" vertical="center" wrapText="1" shrinkToFit="1"/>
      <protection locked="0"/>
    </xf>
    <xf numFmtId="0" fontId="10" fillId="20" borderId="0" xfId="0" applyFont="1" applyFill="1" applyBorder="1" applyAlignment="1" applyProtection="1">
      <alignment horizontal="center" vertical="center"/>
    </xf>
    <xf numFmtId="0" fontId="10" fillId="20" borderId="0" xfId="0" applyFont="1" applyFill="1" applyBorder="1" applyAlignment="1" applyProtection="1">
      <alignment horizontal="center" vertical="center" wrapText="1"/>
    </xf>
    <xf numFmtId="0" fontId="10" fillId="20" borderId="0" xfId="0" applyFont="1" applyFill="1" applyBorder="1" applyAlignment="1" applyProtection="1">
      <alignment vertical="center"/>
    </xf>
    <xf numFmtId="0" fontId="8" fillId="20" borderId="0" xfId="0" applyFont="1" applyFill="1" applyBorder="1" applyAlignment="1" applyProtection="1">
      <alignment horizontal="left" vertical="center" wrapText="1" indent="1"/>
    </xf>
    <xf numFmtId="0" fontId="10" fillId="20" borderId="0" xfId="0" applyFont="1" applyFill="1" applyBorder="1" applyAlignment="1" applyProtection="1">
      <alignment horizontal="left" vertical="center" wrapText="1" indent="1"/>
    </xf>
    <xf numFmtId="0" fontId="10" fillId="21" borderId="0" xfId="0" applyFont="1" applyFill="1" applyBorder="1" applyAlignment="1" applyProtection="1">
      <alignment horizontal="center" vertical="center"/>
    </xf>
    <xf numFmtId="0" fontId="10" fillId="21" borderId="0" xfId="0" applyFont="1" applyFill="1" applyBorder="1" applyAlignment="1" applyProtection="1">
      <alignment horizontal="center" vertical="center" wrapText="1"/>
    </xf>
    <xf numFmtId="0" fontId="10" fillId="21" borderId="0" xfId="0" applyFont="1" applyFill="1" applyBorder="1" applyAlignment="1" applyProtection="1">
      <alignment vertical="center"/>
    </xf>
    <xf numFmtId="0" fontId="8" fillId="21" borderId="0" xfId="0" applyFont="1" applyFill="1" applyBorder="1" applyAlignment="1" applyProtection="1">
      <alignment horizontal="center" vertical="center"/>
    </xf>
    <xf numFmtId="0" fontId="8" fillId="21" borderId="0" xfId="0" applyFont="1" applyFill="1" applyBorder="1" applyAlignment="1" applyProtection="1">
      <alignment vertical="center"/>
    </xf>
    <xf numFmtId="44" fontId="9" fillId="21" borderId="0" xfId="1" applyNumberFormat="1" applyFont="1" applyFill="1" applyBorder="1" applyAlignment="1" applyProtection="1">
      <alignment horizontal="center" vertical="center" wrapText="1" shrinkToFit="1"/>
    </xf>
    <xf numFmtId="44" fontId="10" fillId="21" borderId="0" xfId="1" applyNumberFormat="1" applyFont="1" applyFill="1" applyBorder="1" applyAlignment="1" applyProtection="1">
      <alignment horizontal="center" vertical="center" wrapText="1" shrinkToFit="1"/>
    </xf>
    <xf numFmtId="44" fontId="10" fillId="21" borderId="0" xfId="1" quotePrefix="1" applyNumberFormat="1" applyFont="1" applyFill="1" applyBorder="1" applyAlignment="1" applyProtection="1">
      <alignment horizontal="center" vertical="center" wrapText="1" shrinkToFit="1"/>
    </xf>
    <xf numFmtId="0" fontId="9" fillId="22" borderId="0" xfId="0" applyFont="1" applyFill="1" applyBorder="1" applyAlignment="1" applyProtection="1">
      <alignment vertical="center" wrapText="1"/>
    </xf>
    <xf numFmtId="0" fontId="5" fillId="22" borderId="24" xfId="0" applyFont="1" applyFill="1" applyBorder="1" applyAlignment="1" applyProtection="1">
      <alignment horizontal="center" vertical="center" wrapText="1" shrinkToFit="1"/>
      <protection locked="0"/>
    </xf>
    <xf numFmtId="0" fontId="9" fillId="22" borderId="24" xfId="0" applyFont="1" applyFill="1" applyBorder="1" applyAlignment="1" applyProtection="1">
      <alignment vertical="center" wrapText="1"/>
      <protection locked="0"/>
    </xf>
    <xf numFmtId="0" fontId="9" fillId="23" borderId="0" xfId="0" applyFont="1" applyFill="1" applyBorder="1" applyAlignment="1" applyProtection="1">
      <alignment vertical="center" wrapText="1"/>
    </xf>
    <xf numFmtId="0" fontId="5" fillId="23" borderId="24" xfId="0" applyFont="1" applyFill="1" applyBorder="1" applyAlignment="1" applyProtection="1">
      <alignment horizontal="center" vertical="center" wrapText="1" shrinkToFit="1"/>
      <protection locked="0"/>
    </xf>
    <xf numFmtId="0" fontId="9" fillId="23" borderId="24" xfId="0" applyFont="1" applyFill="1" applyBorder="1" applyAlignment="1" applyProtection="1">
      <alignment vertical="center" wrapText="1"/>
      <protection locked="0"/>
    </xf>
    <xf numFmtId="0" fontId="9" fillId="23" borderId="22" xfId="0" applyFont="1" applyFill="1" applyBorder="1" applyAlignment="1" applyProtection="1">
      <alignment vertical="center" wrapText="1"/>
    </xf>
    <xf numFmtId="0" fontId="9" fillId="23" borderId="26" xfId="0" applyFont="1" applyFill="1" applyBorder="1" applyAlignment="1" applyProtection="1">
      <alignment vertical="center" wrapText="1"/>
      <protection locked="0"/>
    </xf>
    <xf numFmtId="0" fontId="8" fillId="14" borderId="0" xfId="0" applyFont="1" applyFill="1" applyBorder="1" applyAlignment="1" applyProtection="1">
      <alignment vertical="center"/>
    </xf>
    <xf numFmtId="44" fontId="9" fillId="14" borderId="0" xfId="1" applyNumberFormat="1" applyFont="1" applyFill="1" applyBorder="1" applyAlignment="1" applyProtection="1">
      <alignment horizontal="center" vertical="center" wrapText="1" shrinkToFit="1"/>
    </xf>
    <xf numFmtId="44" fontId="10" fillId="14" borderId="0" xfId="1" applyNumberFormat="1" applyFont="1" applyFill="1" applyBorder="1" applyAlignment="1" applyProtection="1">
      <alignment horizontal="center" vertical="center" wrapText="1" shrinkToFit="1"/>
    </xf>
    <xf numFmtId="0" fontId="9" fillId="24" borderId="0" xfId="0" applyFont="1" applyFill="1" applyBorder="1" applyAlignment="1" applyProtection="1">
      <alignment vertical="center" wrapText="1"/>
      <protection locked="0"/>
    </xf>
    <xf numFmtId="0" fontId="9" fillId="24" borderId="24" xfId="0" applyFont="1" applyFill="1" applyBorder="1" applyAlignment="1" applyProtection="1">
      <alignment vertical="center" wrapText="1"/>
      <protection locked="0"/>
    </xf>
    <xf numFmtId="0" fontId="9" fillId="25" borderId="0" xfId="0" applyFont="1" applyFill="1" applyBorder="1" applyAlignment="1" applyProtection="1">
      <alignment vertical="center" wrapText="1"/>
      <protection locked="0"/>
    </xf>
    <xf numFmtId="0" fontId="9" fillId="25" borderId="24" xfId="0" applyFont="1" applyFill="1" applyBorder="1" applyAlignment="1" applyProtection="1">
      <alignment vertical="center" wrapText="1"/>
      <protection locked="0"/>
    </xf>
    <xf numFmtId="0" fontId="9" fillId="25" borderId="22" xfId="0" applyFont="1" applyFill="1" applyBorder="1" applyAlignment="1" applyProtection="1">
      <alignment vertical="center" wrapText="1"/>
      <protection locked="0"/>
    </xf>
    <xf numFmtId="0" fontId="9" fillId="25" borderId="26" xfId="0" applyFont="1" applyFill="1" applyBorder="1" applyAlignment="1" applyProtection="1">
      <alignment vertical="center" wrapText="1"/>
      <protection locked="0"/>
    </xf>
    <xf numFmtId="0" fontId="8" fillId="26" borderId="0" xfId="0" applyFont="1" applyFill="1" applyBorder="1" applyAlignment="1" applyProtection="1">
      <alignment vertical="center"/>
    </xf>
    <xf numFmtId="44" fontId="9" fillId="26" borderId="0" xfId="1" applyNumberFormat="1" applyFont="1" applyFill="1" applyBorder="1" applyAlignment="1" applyProtection="1">
      <alignment horizontal="center" vertical="center" wrapText="1" shrinkToFit="1"/>
    </xf>
    <xf numFmtId="44" fontId="10" fillId="26" borderId="0" xfId="1" applyNumberFormat="1" applyFont="1" applyFill="1" applyBorder="1" applyAlignment="1" applyProtection="1">
      <alignment horizontal="center" vertical="center" wrapText="1" shrinkToFit="1"/>
    </xf>
    <xf numFmtId="44" fontId="10" fillId="26" borderId="0" xfId="1" quotePrefix="1" applyNumberFormat="1" applyFont="1" applyFill="1" applyBorder="1" applyAlignment="1" applyProtection="1">
      <alignment horizontal="center" vertical="center" wrapText="1" shrinkToFit="1"/>
    </xf>
    <xf numFmtId="0" fontId="9" fillId="27" borderId="0" xfId="0" applyFont="1" applyFill="1" applyBorder="1" applyAlignment="1" applyProtection="1">
      <alignment vertical="center" wrapText="1"/>
      <protection locked="0"/>
    </xf>
    <xf numFmtId="0" fontId="9" fillId="27" borderId="24" xfId="0" applyFont="1" applyFill="1" applyBorder="1" applyAlignment="1" applyProtection="1">
      <alignment vertical="center" wrapText="1"/>
      <protection locked="0"/>
    </xf>
    <xf numFmtId="44" fontId="5" fillId="27" borderId="0" xfId="1" applyNumberFormat="1" applyFont="1" applyFill="1" applyBorder="1" applyAlignment="1" applyProtection="1">
      <alignment horizontal="center" vertical="center" wrapText="1" shrinkToFit="1"/>
      <protection locked="0"/>
    </xf>
    <xf numFmtId="0" fontId="9" fillId="27" borderId="22" xfId="0" applyFont="1" applyFill="1" applyBorder="1" applyAlignment="1" applyProtection="1">
      <alignment vertical="center" wrapText="1"/>
      <protection locked="0"/>
    </xf>
    <xf numFmtId="0" fontId="9" fillId="27" borderId="26" xfId="0" applyFont="1" applyFill="1" applyBorder="1" applyAlignment="1" applyProtection="1">
      <alignment vertical="center" wrapText="1"/>
      <protection locked="0"/>
    </xf>
    <xf numFmtId="44" fontId="5" fillId="27" borderId="22" xfId="1" applyNumberFormat="1" applyFont="1" applyFill="1" applyBorder="1" applyAlignment="1" applyProtection="1">
      <alignment horizontal="center" vertical="center" wrapText="1" shrinkToFit="1"/>
      <protection locked="0"/>
    </xf>
    <xf numFmtId="0" fontId="15" fillId="3" borderId="0" xfId="0" applyFont="1" applyFill="1" applyBorder="1" applyAlignment="1" applyProtection="1">
      <alignment horizontal="left" vertical="center" indent="1"/>
    </xf>
    <xf numFmtId="0" fontId="15" fillId="3" borderId="0" xfId="0" applyFont="1" applyFill="1" applyBorder="1" applyAlignment="1" applyProtection="1">
      <alignment vertical="center"/>
    </xf>
    <xf numFmtId="0" fontId="10" fillId="3" borderId="0" xfId="0" applyFont="1" applyFill="1" applyBorder="1" applyAlignment="1" applyProtection="1">
      <alignment horizontal="center" vertical="center" wrapText="1"/>
    </xf>
    <xf numFmtId="0" fontId="33" fillId="26" borderId="0" xfId="0" applyFont="1" applyFill="1" applyBorder="1" applyAlignment="1" applyProtection="1">
      <alignment horizontal="left" vertical="center" indent="1"/>
    </xf>
    <xf numFmtId="0" fontId="33" fillId="14" borderId="0" xfId="0" applyFont="1" applyFill="1" applyBorder="1" applyAlignment="1" applyProtection="1">
      <alignment horizontal="left" vertical="center" indent="1"/>
    </xf>
    <xf numFmtId="0" fontId="35" fillId="21" borderId="0" xfId="0" applyFont="1" applyFill="1" applyBorder="1" applyAlignment="1" applyProtection="1">
      <alignment horizontal="left" vertical="center" indent="1"/>
    </xf>
    <xf numFmtId="0" fontId="36" fillId="20" borderId="0" xfId="0" applyFont="1" applyFill="1" applyBorder="1" applyAlignment="1" applyProtection="1">
      <alignment vertical="center" wrapText="1"/>
    </xf>
    <xf numFmtId="0" fontId="36" fillId="17" borderId="0" xfId="0" applyFont="1" applyFill="1" applyBorder="1" applyAlignment="1" applyProtection="1">
      <alignment vertical="center" wrapText="1"/>
    </xf>
    <xf numFmtId="0" fontId="9" fillId="28" borderId="0" xfId="0" applyFont="1" applyFill="1" applyBorder="1" applyAlignment="1" applyProtection="1">
      <alignment vertical="center" wrapText="1"/>
      <protection locked="0"/>
    </xf>
    <xf numFmtId="0" fontId="9" fillId="28" borderId="24" xfId="0" applyFont="1" applyFill="1" applyBorder="1" applyAlignment="1" applyProtection="1">
      <alignment vertical="center" wrapText="1"/>
      <protection locked="0"/>
    </xf>
    <xf numFmtId="0" fontId="5" fillId="28" borderId="24" xfId="0" applyFont="1" applyFill="1" applyBorder="1" applyAlignment="1" applyProtection="1">
      <alignment horizontal="center" vertical="center" wrapText="1" shrinkToFit="1"/>
      <protection locked="0"/>
    </xf>
    <xf numFmtId="0" fontId="9" fillId="23" borderId="24" xfId="0" applyFont="1" applyFill="1" applyBorder="1" applyAlignment="1" applyProtection="1">
      <alignment horizontal="center" vertical="center" wrapText="1"/>
      <protection locked="0"/>
    </xf>
    <xf numFmtId="0" fontId="9" fillId="22" borderId="24" xfId="0" applyFont="1" applyFill="1" applyBorder="1" applyAlignment="1" applyProtection="1">
      <alignment horizontal="center" vertical="center" wrapText="1"/>
      <protection locked="0"/>
    </xf>
    <xf numFmtId="0" fontId="16" fillId="0" borderId="0" xfId="2"/>
    <xf numFmtId="0" fontId="16" fillId="0" borderId="0" xfId="2" applyAlignment="1">
      <alignment horizontal="left"/>
    </xf>
    <xf numFmtId="0" fontId="5" fillId="2" borderId="0" xfId="0" applyFont="1" applyFill="1" applyBorder="1" applyAlignment="1">
      <alignment horizontal="left" vertical="center"/>
    </xf>
    <xf numFmtId="0" fontId="0" fillId="0" borderId="0" xfId="0" applyBorder="1" applyProtection="1">
      <protection locked="0"/>
    </xf>
    <xf numFmtId="0" fontId="10" fillId="21" borderId="0" xfId="0" applyFont="1" applyFill="1" applyBorder="1" applyAlignment="1" applyProtection="1">
      <alignment horizontal="center" vertical="center" wrapText="1"/>
    </xf>
    <xf numFmtId="0" fontId="10" fillId="21" borderId="0" xfId="0" applyFont="1" applyFill="1" applyBorder="1" applyAlignment="1" applyProtection="1">
      <alignment horizontal="center" vertical="center"/>
    </xf>
    <xf numFmtId="0" fontId="0" fillId="0" borderId="16" xfId="0" applyFill="1" applyBorder="1" applyAlignment="1">
      <alignment horizontal="center"/>
    </xf>
    <xf numFmtId="9" fontId="16" fillId="0" borderId="16" xfId="2" applyNumberFormat="1" applyFill="1" applyBorder="1" applyAlignment="1">
      <alignment horizontal="center"/>
    </xf>
    <xf numFmtId="0" fontId="0" fillId="0" borderId="20" xfId="0" applyBorder="1" applyAlignment="1">
      <alignment horizontal="center"/>
    </xf>
    <xf numFmtId="0" fontId="16" fillId="0" borderId="16" xfId="2" applyFill="1" applyBorder="1" applyAlignment="1">
      <alignment horizontal="center"/>
    </xf>
    <xf numFmtId="166" fontId="0" fillId="0" borderId="0" xfId="1" applyNumberFormat="1" applyFont="1" applyFill="1" applyBorder="1" applyAlignment="1">
      <alignment horizontal="center"/>
    </xf>
    <xf numFmtId="166" fontId="0" fillId="0" borderId="19" xfId="1" applyNumberFormat="1" applyFont="1" applyFill="1" applyBorder="1" applyAlignment="1">
      <alignment horizontal="center"/>
    </xf>
    <xf numFmtId="0" fontId="25" fillId="0" borderId="0" xfId="0" applyFont="1" applyAlignment="1" applyProtection="1">
      <alignment horizontal="left" vertical="top" wrapText="1"/>
    </xf>
    <xf numFmtId="0" fontId="10" fillId="0" borderId="0" xfId="0" applyFont="1" applyAlignment="1" applyProtection="1">
      <alignment horizontal="right" wrapText="1"/>
    </xf>
    <xf numFmtId="0" fontId="10" fillId="2" borderId="0" xfId="0" applyFont="1" applyFill="1" applyAlignment="1" applyProtection="1">
      <alignment horizontal="right"/>
    </xf>
    <xf numFmtId="0" fontId="21" fillId="0" borderId="20" xfId="0" applyFont="1" applyBorder="1" applyAlignment="1" applyProtection="1">
      <alignment horizontal="left" indent="1"/>
      <protection locked="0"/>
    </xf>
    <xf numFmtId="0" fontId="32" fillId="2" borderId="0" xfId="0" applyFont="1" applyFill="1" applyBorder="1" applyAlignment="1" applyProtection="1">
      <alignment horizontal="right" vertical="center"/>
    </xf>
    <xf numFmtId="0" fontId="34" fillId="3" borderId="0" xfId="0" applyFont="1" applyFill="1" applyBorder="1" applyAlignment="1" applyProtection="1">
      <alignment horizontal="left" vertical="center" indent="1"/>
    </xf>
    <xf numFmtId="0" fontId="30" fillId="2" borderId="0" xfId="0" applyFont="1" applyFill="1" applyAlignment="1" applyProtection="1">
      <alignment horizontal="right" indent="1"/>
    </xf>
    <xf numFmtId="0" fontId="30" fillId="2" borderId="0" xfId="0" applyFont="1" applyFill="1" applyBorder="1" applyAlignment="1" applyProtection="1">
      <alignment horizontal="right" indent="1"/>
    </xf>
    <xf numFmtId="0" fontId="10" fillId="21" borderId="0" xfId="0" applyFont="1" applyFill="1" applyBorder="1" applyAlignment="1" applyProtection="1">
      <alignment horizontal="center" vertical="center" wrapText="1"/>
    </xf>
    <xf numFmtId="0" fontId="9" fillId="23" borderId="30" xfId="0" applyFont="1" applyFill="1" applyBorder="1" applyAlignment="1" applyProtection="1">
      <alignment horizontal="center" vertical="center" wrapText="1"/>
      <protection locked="0"/>
    </xf>
    <xf numFmtId="0" fontId="9" fillId="23" borderId="0" xfId="0" applyFont="1" applyFill="1" applyBorder="1" applyAlignment="1" applyProtection="1">
      <alignment horizontal="center" vertical="center" wrapText="1"/>
      <protection locked="0"/>
    </xf>
    <xf numFmtId="0" fontId="9" fillId="23" borderId="23" xfId="0" applyFont="1" applyFill="1" applyBorder="1" applyAlignment="1" applyProtection="1">
      <alignment horizontal="center" vertical="center" wrapText="1"/>
      <protection locked="0"/>
    </xf>
    <xf numFmtId="0" fontId="8" fillId="21" borderId="0" xfId="0"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10" fillId="21" borderId="0" xfId="0" applyFont="1" applyFill="1" applyBorder="1" applyAlignment="1" applyProtection="1">
      <alignment horizontal="center" vertical="center"/>
    </xf>
    <xf numFmtId="0" fontId="10" fillId="13" borderId="0" xfId="0" applyFont="1" applyFill="1" applyBorder="1" applyAlignment="1" applyProtection="1">
      <alignment horizontal="center" vertical="center" wrapText="1"/>
    </xf>
    <xf numFmtId="0" fontId="10" fillId="13" borderId="0" xfId="0" applyFont="1" applyFill="1" applyBorder="1" applyAlignment="1" applyProtection="1">
      <alignment horizontal="center" vertical="center"/>
    </xf>
    <xf numFmtId="0" fontId="5" fillId="16" borderId="24" xfId="0" applyFont="1" applyFill="1" applyBorder="1" applyAlignment="1" applyProtection="1">
      <alignment horizontal="center" vertical="center" wrapText="1" shrinkToFit="1"/>
      <protection locked="0"/>
    </xf>
    <xf numFmtId="0" fontId="5" fillId="15" borderId="24" xfId="0" applyFont="1" applyFill="1" applyBorder="1" applyAlignment="1" applyProtection="1">
      <alignment horizontal="center" vertical="center" wrapText="1" shrinkToFit="1"/>
      <protection locked="0"/>
    </xf>
    <xf numFmtId="0" fontId="10" fillId="17" borderId="0" xfId="0" applyFont="1" applyFill="1" applyBorder="1" applyAlignment="1" applyProtection="1">
      <alignment horizontal="center" vertical="center" wrapText="1"/>
    </xf>
    <xf numFmtId="0" fontId="10" fillId="17" borderId="0" xfId="0" applyFont="1" applyFill="1" applyBorder="1" applyAlignment="1" applyProtection="1">
      <alignment horizontal="center" vertical="center"/>
    </xf>
    <xf numFmtId="0" fontId="8" fillId="17" borderId="0" xfId="0" applyFont="1" applyFill="1" applyBorder="1" applyAlignment="1" applyProtection="1">
      <alignment horizontal="left" vertical="center" wrapText="1"/>
    </xf>
    <xf numFmtId="0" fontId="9" fillId="19" borderId="30" xfId="0" applyFont="1" applyFill="1" applyBorder="1" applyAlignment="1" applyProtection="1">
      <alignment horizontal="center" vertical="center" wrapText="1"/>
      <protection locked="0"/>
    </xf>
    <xf numFmtId="0" fontId="9" fillId="19" borderId="0" xfId="0" applyFont="1" applyFill="1" applyBorder="1" applyAlignment="1" applyProtection="1">
      <alignment horizontal="center" vertical="center" wrapText="1"/>
      <protection locked="0"/>
    </xf>
    <xf numFmtId="0" fontId="9" fillId="19" borderId="23" xfId="0" applyFont="1" applyFill="1" applyBorder="1" applyAlignment="1" applyProtection="1">
      <alignment horizontal="center" vertical="center" wrapText="1"/>
      <protection locked="0"/>
    </xf>
    <xf numFmtId="0" fontId="9" fillId="18" borderId="30" xfId="0" applyFont="1" applyFill="1" applyBorder="1" applyAlignment="1" applyProtection="1">
      <alignment horizontal="center" vertical="center" wrapText="1"/>
      <protection locked="0"/>
    </xf>
    <xf numFmtId="0" fontId="9" fillId="18" borderId="0" xfId="0" applyFont="1" applyFill="1" applyBorder="1" applyAlignment="1" applyProtection="1">
      <alignment horizontal="center" vertical="center" wrapText="1"/>
      <protection locked="0"/>
    </xf>
    <xf numFmtId="0" fontId="9" fillId="18" borderId="2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8" fillId="21" borderId="0" xfId="0" applyFont="1" applyFill="1" applyBorder="1" applyAlignment="1" applyProtection="1">
      <alignment horizontal="left" vertical="center" wrapText="1"/>
    </xf>
    <xf numFmtId="0" fontId="9" fillId="23" borderId="27" xfId="0" applyFont="1" applyFill="1" applyBorder="1" applyAlignment="1" applyProtection="1">
      <alignment horizontal="center" vertical="center" wrapText="1"/>
      <protection locked="0"/>
    </xf>
    <xf numFmtId="0" fontId="9" fillId="23" borderId="22" xfId="0" applyFont="1" applyFill="1" applyBorder="1" applyAlignment="1" applyProtection="1">
      <alignment horizontal="center" vertical="center" wrapText="1"/>
      <protection locked="0"/>
    </xf>
    <xf numFmtId="0" fontId="9" fillId="23" borderId="25" xfId="0" applyFont="1" applyFill="1" applyBorder="1" applyAlignment="1" applyProtection="1">
      <alignment horizontal="center" vertical="center" wrapText="1"/>
      <protection locked="0"/>
    </xf>
    <xf numFmtId="0" fontId="9" fillId="22" borderId="30" xfId="0" applyFont="1" applyFill="1" applyBorder="1" applyAlignment="1" applyProtection="1">
      <alignment horizontal="center" vertical="center" wrapText="1"/>
      <protection locked="0"/>
    </xf>
    <xf numFmtId="0" fontId="9" fillId="22" borderId="0" xfId="0" applyFont="1" applyFill="1" applyBorder="1" applyAlignment="1" applyProtection="1">
      <alignment horizontal="center" vertical="center" wrapText="1"/>
      <protection locked="0"/>
    </xf>
    <xf numFmtId="0" fontId="9" fillId="22" borderId="23" xfId="0" applyFont="1" applyFill="1" applyBorder="1" applyAlignment="1" applyProtection="1">
      <alignment horizontal="center" vertical="center" wrapText="1"/>
      <protection locked="0"/>
    </xf>
    <xf numFmtId="0" fontId="10" fillId="14" borderId="0" xfId="0" applyFont="1" applyFill="1" applyBorder="1" applyAlignment="1" applyProtection="1">
      <alignment horizontal="center" vertical="center" wrapText="1"/>
    </xf>
    <xf numFmtId="0" fontId="10" fillId="20" borderId="0" xfId="0" applyFont="1" applyFill="1" applyBorder="1" applyAlignment="1" applyProtection="1">
      <alignment horizontal="center" vertical="center" wrapText="1"/>
    </xf>
    <xf numFmtId="0" fontId="10" fillId="20" borderId="0" xfId="0" applyFont="1" applyFill="1" applyBorder="1" applyAlignment="1" applyProtection="1">
      <alignment horizontal="center" vertical="center"/>
    </xf>
    <xf numFmtId="0" fontId="31" fillId="2" borderId="0" xfId="0" applyFont="1" applyFill="1" applyAlignment="1" applyProtection="1">
      <alignment horizontal="right" indent="1"/>
    </xf>
    <xf numFmtId="0" fontId="31" fillId="2" borderId="0" xfId="0" applyFont="1" applyFill="1" applyBorder="1" applyAlignment="1" applyProtection="1">
      <alignment horizontal="right" indent="1"/>
    </xf>
    <xf numFmtId="0" fontId="27" fillId="2" borderId="0" xfId="0" applyFont="1" applyFill="1" applyAlignment="1" applyProtection="1">
      <alignment horizontal="right" indent="1"/>
    </xf>
    <xf numFmtId="0" fontId="27" fillId="2" borderId="0" xfId="0" applyFont="1" applyFill="1" applyBorder="1" applyAlignment="1" applyProtection="1">
      <alignment horizontal="right" indent="1"/>
    </xf>
    <xf numFmtId="0" fontId="9" fillId="25" borderId="30" xfId="0" applyFont="1" applyFill="1" applyBorder="1" applyAlignment="1" applyProtection="1">
      <alignment horizontal="center" vertical="center" wrapText="1"/>
      <protection locked="0"/>
    </xf>
    <xf numFmtId="0" fontId="9" fillId="25" borderId="0" xfId="0" applyFont="1" applyFill="1" applyBorder="1" applyAlignment="1" applyProtection="1">
      <alignment horizontal="center" vertical="center" wrapText="1"/>
      <protection locked="0"/>
    </xf>
    <xf numFmtId="0" fontId="9" fillId="25" borderId="23" xfId="0" applyFont="1" applyFill="1" applyBorder="1" applyAlignment="1" applyProtection="1">
      <alignment horizontal="center" vertical="center" wrapText="1"/>
      <protection locked="0"/>
    </xf>
    <xf numFmtId="0" fontId="9" fillId="24" borderId="30" xfId="0" applyFont="1" applyFill="1" applyBorder="1" applyAlignment="1" applyProtection="1">
      <alignment horizontal="center" vertical="center" wrapText="1"/>
      <protection locked="0"/>
    </xf>
    <xf numFmtId="0" fontId="9" fillId="24" borderId="0" xfId="0" applyFont="1" applyFill="1" applyBorder="1" applyAlignment="1" applyProtection="1">
      <alignment horizontal="center" vertical="center" wrapText="1"/>
      <protection locked="0"/>
    </xf>
    <xf numFmtId="0" fontId="9" fillId="24" borderId="23" xfId="0" applyFont="1" applyFill="1" applyBorder="1" applyAlignment="1" applyProtection="1">
      <alignment horizontal="center" vertical="center" wrapText="1"/>
      <protection locked="0"/>
    </xf>
    <xf numFmtId="0" fontId="9" fillId="25" borderId="27" xfId="0" applyFont="1" applyFill="1" applyBorder="1" applyAlignment="1" applyProtection="1">
      <alignment horizontal="center" vertical="center" wrapText="1"/>
      <protection locked="0"/>
    </xf>
    <xf numFmtId="0" fontId="9" fillId="25" borderId="22" xfId="0" applyFont="1" applyFill="1" applyBorder="1" applyAlignment="1" applyProtection="1">
      <alignment horizontal="center" vertical="center" wrapText="1"/>
      <protection locked="0"/>
    </xf>
    <xf numFmtId="0" fontId="9" fillId="25" borderId="25" xfId="0" applyFont="1" applyFill="1" applyBorder="1" applyAlignment="1" applyProtection="1">
      <alignment horizontal="center" vertical="center" wrapText="1"/>
      <protection locked="0"/>
    </xf>
    <xf numFmtId="0" fontId="10" fillId="26" borderId="0" xfId="0" applyFont="1" applyFill="1" applyBorder="1" applyAlignment="1" applyProtection="1">
      <alignment horizontal="center" vertical="center" wrapText="1"/>
    </xf>
    <xf numFmtId="44" fontId="37" fillId="28" borderId="0" xfId="1" applyNumberFormat="1" applyFont="1" applyFill="1" applyBorder="1" applyAlignment="1" applyProtection="1">
      <alignment horizontal="center" vertical="center" wrapText="1" shrinkToFit="1"/>
      <protection locked="0"/>
    </xf>
    <xf numFmtId="44" fontId="37" fillId="28" borderId="23" xfId="1" applyNumberFormat="1" applyFont="1" applyFill="1" applyBorder="1" applyAlignment="1" applyProtection="1">
      <alignment horizontal="center" vertical="center" wrapText="1" shrinkToFit="1"/>
      <protection locked="0"/>
    </xf>
    <xf numFmtId="0" fontId="10" fillId="3" borderId="34"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8" fillId="13" borderId="0" xfId="0" applyFont="1" applyFill="1" applyBorder="1" applyAlignment="1" applyProtection="1">
      <alignment horizontal="left" vertical="center" wrapText="1"/>
    </xf>
    <xf numFmtId="0" fontId="8" fillId="17" borderId="0" xfId="0" applyFont="1" applyFill="1" applyBorder="1" applyAlignment="1" applyProtection="1">
      <alignment horizontal="center" vertical="center" wrapText="1"/>
    </xf>
    <xf numFmtId="0" fontId="35" fillId="21" borderId="0" xfId="0" applyFont="1" applyFill="1" applyBorder="1" applyAlignment="1" applyProtection="1">
      <alignment horizontal="left" vertical="center" indent="1"/>
    </xf>
    <xf numFmtId="44" fontId="23" fillId="19" borderId="0" xfId="1" applyNumberFormat="1" applyFont="1" applyFill="1" applyBorder="1" applyAlignment="1" applyProtection="1">
      <alignment horizontal="center" vertical="center" wrapText="1" shrinkToFit="1"/>
      <protection locked="0"/>
    </xf>
    <xf numFmtId="44" fontId="23" fillId="19" borderId="23" xfId="1" applyNumberFormat="1" applyFont="1" applyFill="1" applyBorder="1" applyAlignment="1" applyProtection="1">
      <alignment horizontal="center" vertical="center" wrapText="1" shrinkToFit="1"/>
      <protection locked="0"/>
    </xf>
    <xf numFmtId="0" fontId="24" fillId="18" borderId="0" xfId="0" applyFont="1" applyFill="1" applyBorder="1" applyAlignment="1" applyProtection="1">
      <alignment horizontal="center" vertical="center" wrapText="1"/>
      <protection locked="0"/>
    </xf>
    <xf numFmtId="0" fontId="24" fillId="18" borderId="23" xfId="0" applyFont="1" applyFill="1" applyBorder="1" applyAlignment="1" applyProtection="1">
      <alignment horizontal="center" vertical="center" wrapText="1"/>
      <protection locked="0"/>
    </xf>
    <xf numFmtId="0" fontId="26" fillId="2" borderId="0" xfId="0" applyFont="1" applyFill="1" applyAlignment="1" applyProtection="1">
      <alignment horizontal="right" indent="1"/>
    </xf>
    <xf numFmtId="0" fontId="26" fillId="2" borderId="0" xfId="0" applyFont="1" applyFill="1" applyBorder="1" applyAlignment="1" applyProtection="1">
      <alignment horizontal="right" indent="1"/>
    </xf>
    <xf numFmtId="0" fontId="36" fillId="13" borderId="0" xfId="0" applyFont="1" applyFill="1" applyBorder="1" applyAlignment="1" applyProtection="1">
      <alignment horizontal="left" vertical="center" indent="1"/>
    </xf>
    <xf numFmtId="0" fontId="5" fillId="16" borderId="26" xfId="0" applyFont="1" applyFill="1" applyBorder="1" applyAlignment="1" applyProtection="1">
      <alignment horizontal="center" vertical="center" wrapText="1" shrinkToFit="1"/>
      <protection locked="0"/>
    </xf>
    <xf numFmtId="0" fontId="9" fillId="19" borderId="27" xfId="0" applyFont="1" applyFill="1" applyBorder="1" applyAlignment="1" applyProtection="1">
      <alignment horizontal="center" vertical="center" wrapText="1"/>
      <protection locked="0"/>
    </xf>
    <xf numFmtId="0" fontId="9" fillId="19" borderId="22" xfId="0" applyFont="1" applyFill="1" applyBorder="1" applyAlignment="1" applyProtection="1">
      <alignment horizontal="center" vertical="center" wrapText="1"/>
      <protection locked="0"/>
    </xf>
    <xf numFmtId="0" fontId="9" fillId="19" borderId="25" xfId="0" applyFont="1" applyFill="1" applyBorder="1" applyAlignment="1" applyProtection="1">
      <alignment horizontal="center" vertical="center" wrapText="1"/>
      <protection locked="0"/>
    </xf>
    <xf numFmtId="0" fontId="8" fillId="20" borderId="0" xfId="0" applyFont="1" applyFill="1" applyBorder="1" applyAlignment="1" applyProtection="1">
      <alignment horizontal="left" vertical="center" wrapText="1"/>
    </xf>
    <xf numFmtId="0" fontId="8" fillId="20" borderId="0" xfId="0" applyFont="1" applyFill="1" applyBorder="1" applyAlignment="1" applyProtection="1">
      <alignment horizontal="center" vertical="center" wrapText="1"/>
    </xf>
    <xf numFmtId="0" fontId="38" fillId="7" borderId="0" xfId="0" applyFont="1" applyFill="1" applyBorder="1" applyAlignment="1" applyProtection="1">
      <alignment horizontal="center" vertical="center" wrapText="1"/>
      <protection locked="0"/>
    </xf>
    <xf numFmtId="0" fontId="38" fillId="7" borderId="23" xfId="0" applyFont="1" applyFill="1" applyBorder="1" applyAlignment="1" applyProtection="1">
      <alignment horizontal="center" vertical="center" wrapText="1"/>
      <protection locked="0"/>
    </xf>
    <xf numFmtId="0" fontId="9" fillId="7" borderId="30"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28" fillId="2" borderId="0" xfId="0" applyFont="1" applyFill="1" applyAlignment="1" applyProtection="1">
      <alignment horizontal="right" indent="1"/>
    </xf>
    <xf numFmtId="0" fontId="28" fillId="2" borderId="0" xfId="0" applyFont="1" applyFill="1" applyBorder="1" applyAlignment="1" applyProtection="1">
      <alignment horizontal="right" indent="1"/>
    </xf>
    <xf numFmtId="0" fontId="8" fillId="21" borderId="0" xfId="0" applyFont="1" applyFill="1" applyBorder="1" applyAlignment="1" applyProtection="1">
      <alignment horizontal="left" vertical="center" wrapText="1" indent="1"/>
    </xf>
    <xf numFmtId="0" fontId="9" fillId="27" borderId="30" xfId="0" applyFont="1" applyFill="1" applyBorder="1" applyAlignment="1" applyProtection="1">
      <alignment horizontal="center" vertical="center" wrapText="1"/>
      <protection locked="0"/>
    </xf>
    <xf numFmtId="0" fontId="9" fillId="27" borderId="0" xfId="0" applyFont="1" applyFill="1" applyBorder="1" applyAlignment="1" applyProtection="1">
      <alignment horizontal="center" vertical="center" wrapText="1"/>
      <protection locked="0"/>
    </xf>
    <xf numFmtId="0" fontId="9" fillId="27" borderId="23" xfId="0" applyFont="1" applyFill="1" applyBorder="1" applyAlignment="1" applyProtection="1">
      <alignment horizontal="center" vertical="center" wrapText="1"/>
      <protection locked="0"/>
    </xf>
    <xf numFmtId="0" fontId="9" fillId="27" borderId="27" xfId="0" applyFont="1" applyFill="1" applyBorder="1" applyAlignment="1" applyProtection="1">
      <alignment horizontal="center" vertical="center" wrapText="1"/>
      <protection locked="0"/>
    </xf>
    <xf numFmtId="0" fontId="9" fillId="27" borderId="22" xfId="0" applyFont="1" applyFill="1" applyBorder="1" applyAlignment="1" applyProtection="1">
      <alignment horizontal="center" vertical="center" wrapText="1"/>
      <protection locked="0"/>
    </xf>
    <xf numFmtId="0" fontId="9" fillId="27" borderId="25" xfId="0" applyFont="1" applyFill="1" applyBorder="1" applyAlignment="1" applyProtection="1">
      <alignment horizontal="center" vertical="center" wrapText="1"/>
      <protection locked="0"/>
    </xf>
    <xf numFmtId="0" fontId="9" fillId="6" borderId="30"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9" fillId="6" borderId="23" xfId="0" applyFont="1" applyFill="1" applyBorder="1" applyAlignment="1" applyProtection="1">
      <alignment horizontal="center" vertical="center" wrapText="1"/>
      <protection locked="0"/>
    </xf>
    <xf numFmtId="0" fontId="9" fillId="7" borderId="27" xfId="0" applyFont="1" applyFill="1" applyBorder="1" applyAlignment="1" applyProtection="1">
      <alignment horizontal="center" vertical="center" wrapText="1"/>
      <protection locked="0"/>
    </xf>
    <xf numFmtId="0" fontId="9" fillId="7" borderId="22"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29" fillId="2" borderId="0" xfId="0" applyFont="1" applyFill="1" applyAlignment="1" applyProtection="1">
      <alignment horizontal="right" indent="1"/>
    </xf>
    <xf numFmtId="0" fontId="29" fillId="2" borderId="0" xfId="0" applyFont="1" applyFill="1" applyBorder="1" applyAlignment="1" applyProtection="1">
      <alignment horizontal="right" indent="1"/>
    </xf>
    <xf numFmtId="0" fontId="33" fillId="21" borderId="0" xfId="0" applyFont="1" applyFill="1" applyBorder="1" applyAlignment="1" applyProtection="1">
      <alignment horizontal="left" vertical="center" wrapText="1" indent="1"/>
    </xf>
    <xf numFmtId="9" fontId="11" fillId="0" borderId="0" xfId="3" applyFont="1" applyProtection="1"/>
    <xf numFmtId="0" fontId="0" fillId="0" borderId="0" xfId="0" quotePrefix="1"/>
    <xf numFmtId="44" fontId="10" fillId="14" borderId="0" xfId="1" quotePrefix="1" applyNumberFormat="1" applyFont="1" applyFill="1" applyBorder="1" applyAlignment="1" applyProtection="1">
      <alignment horizontal="center" vertical="center" wrapText="1" shrinkToFit="1"/>
    </xf>
    <xf numFmtId="44" fontId="5" fillId="2" borderId="0" xfId="1" quotePrefix="1" applyNumberFormat="1" applyFont="1" applyFill="1" applyBorder="1" applyAlignment="1" applyProtection="1">
      <alignment horizontal="center" vertical="center" wrapText="1" shrinkToFit="1"/>
    </xf>
    <xf numFmtId="44" fontId="5" fillId="4" borderId="0" xfId="1" quotePrefix="1" applyNumberFormat="1" applyFont="1" applyFill="1" applyBorder="1" applyAlignment="1" applyProtection="1">
      <alignment horizontal="center" vertical="center" wrapText="1" shrinkToFit="1"/>
    </xf>
    <xf numFmtId="44" fontId="5" fillId="2" borderId="22" xfId="1" quotePrefix="1" applyNumberFormat="1" applyFont="1" applyFill="1" applyBorder="1" applyAlignment="1" applyProtection="1">
      <alignment horizontal="center" vertical="center" wrapText="1" shrinkToFit="1"/>
    </xf>
    <xf numFmtId="44" fontId="5" fillId="2" borderId="37" xfId="1" applyNumberFormat="1" applyFont="1" applyFill="1" applyBorder="1" applyAlignment="1" applyProtection="1">
      <alignment horizontal="center" wrapText="1" shrinkToFit="1"/>
    </xf>
    <xf numFmtId="44" fontId="5" fillId="29" borderId="0" xfId="1" applyNumberFormat="1" applyFont="1" applyFill="1" applyBorder="1" applyAlignment="1" applyProtection="1">
      <alignment horizontal="center" vertical="center" wrapText="1" shrinkToFit="1"/>
    </xf>
    <xf numFmtId="44" fontId="5" fillId="29" borderId="0" xfId="1" applyNumberFormat="1" applyFont="1" applyFill="1" applyBorder="1" applyAlignment="1" applyProtection="1">
      <alignment horizontal="center" vertical="center" wrapText="1" shrinkToFit="1"/>
      <protection locked="0"/>
    </xf>
    <xf numFmtId="0" fontId="9" fillId="29" borderId="0" xfId="0" applyFont="1" applyFill="1" applyBorder="1" applyAlignment="1" applyProtection="1">
      <alignment vertical="center" wrapText="1"/>
      <protection locked="0"/>
    </xf>
    <xf numFmtId="0" fontId="9" fillId="29" borderId="24" xfId="0" applyFont="1" applyFill="1" applyBorder="1" applyAlignment="1" applyProtection="1">
      <alignment vertical="center" wrapText="1"/>
      <protection locked="0"/>
    </xf>
    <xf numFmtId="0" fontId="9" fillId="29" borderId="30" xfId="0" applyFont="1" applyFill="1" applyBorder="1" applyAlignment="1" applyProtection="1">
      <alignment horizontal="center" vertical="center" wrapText="1"/>
      <protection locked="0"/>
    </xf>
    <xf numFmtId="0" fontId="9" fillId="29" borderId="0" xfId="0" applyFont="1" applyFill="1" applyBorder="1" applyAlignment="1" applyProtection="1">
      <alignment horizontal="center" vertical="center" wrapText="1"/>
      <protection locked="0"/>
    </xf>
    <xf numFmtId="0" fontId="9" fillId="29" borderId="23" xfId="0" applyFont="1" applyFill="1" applyBorder="1" applyAlignment="1" applyProtection="1">
      <alignment horizontal="center" vertical="center" wrapText="1"/>
      <protection locked="0"/>
    </xf>
  </cellXfs>
  <cellStyles count="4">
    <cellStyle name="Excel Built-in Normal" xfId="2"/>
    <cellStyle name="Monétaire" xfId="1" builtinId="4"/>
    <cellStyle name="Normal" xfId="0" builtinId="0"/>
    <cellStyle name="Pourcentage" xfId="3" builtinId="5"/>
  </cellStyles>
  <dxfs count="4">
    <dxf>
      <font>
        <color auto="1"/>
      </font>
      <fill>
        <patternFill>
          <bgColor theme="0"/>
        </patternFill>
      </fill>
      <border>
        <bottom style="thin">
          <color auto="1"/>
        </bottom>
      </border>
    </dxf>
    <dxf>
      <font>
        <color auto="1"/>
      </font>
      <fill>
        <patternFill>
          <bgColor theme="0"/>
        </patternFill>
      </fill>
    </dxf>
    <dxf>
      <fill>
        <patternFill>
          <bgColor theme="0" tint="-0.14996795556505021"/>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CDE7"/>
      <color rgb="FFF2E9F7"/>
      <color rgb="FFFFEFC3"/>
      <color rgb="FFFFFFE7"/>
      <color rgb="FFF6F9D7"/>
      <color rgb="FFEBF1DE"/>
      <color rgb="FFA09B9B"/>
      <color rgb="FF9BB4C8"/>
      <color rgb="FFC3AAD2"/>
      <color rgb="FFD7B9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C$39" lockText="1" noThreeD="1"/>
</file>

<file path=xl/ctrlProps/ctrlProp11.xml><?xml version="1.0" encoding="utf-8"?>
<formControlPr xmlns="http://schemas.microsoft.com/office/spreadsheetml/2009/9/main" objectType="CheckBox" fmlaLink="$C$40" lockText="1" noThreeD="1"/>
</file>

<file path=xl/ctrlProps/ctrlProp12.xml><?xml version="1.0" encoding="utf-8"?>
<formControlPr xmlns="http://schemas.microsoft.com/office/spreadsheetml/2009/9/main" objectType="CheckBox" fmlaLink="$C$41" lockText="1" noThreeD="1"/>
</file>

<file path=xl/ctrlProps/ctrlProp2.xml><?xml version="1.0" encoding="utf-8"?>
<formControlPr xmlns="http://schemas.microsoft.com/office/spreadsheetml/2009/9/main" objectType="Drop" dropStyle="combo" dx="16" fmlaLink="Tarifs!$D$82" fmlaRange="Tarifs!$A$80:$A$85" sel="1" val="0"/>
</file>

<file path=xl/ctrlProps/ctrlProp3.xml><?xml version="1.0" encoding="utf-8"?>
<formControlPr xmlns="http://schemas.microsoft.com/office/spreadsheetml/2009/9/main" objectType="CheckBox" fmlaLink="$C$23" lockText="1" noThreeD="1"/>
</file>

<file path=xl/ctrlProps/ctrlProp4.xml><?xml version="1.0" encoding="utf-8"?>
<formControlPr xmlns="http://schemas.microsoft.com/office/spreadsheetml/2009/9/main" objectType="CheckBox" fmlaLink="$C$24" lockText="1" noThreeD="1"/>
</file>

<file path=xl/ctrlProps/ctrlProp5.xml><?xml version="1.0" encoding="utf-8"?>
<formControlPr xmlns="http://schemas.microsoft.com/office/spreadsheetml/2009/9/main" objectType="CheckBox" fmlaLink="$C$25" lockText="1" noThreeD="1"/>
</file>

<file path=xl/ctrlProps/ctrlProp6.xml><?xml version="1.0" encoding="utf-8"?>
<formControlPr xmlns="http://schemas.microsoft.com/office/spreadsheetml/2009/9/main" objectType="CheckBox" fmlaLink="$C$26" lockText="1" noThreeD="1"/>
</file>

<file path=xl/ctrlProps/ctrlProp7.xml><?xml version="1.0" encoding="utf-8"?>
<formControlPr xmlns="http://schemas.microsoft.com/office/spreadsheetml/2009/9/main" objectType="CheckBox" fmlaLink="$C$27" lockText="1" noThreeD="1"/>
</file>

<file path=xl/ctrlProps/ctrlProp8.xml><?xml version="1.0" encoding="utf-8"?>
<formControlPr xmlns="http://schemas.microsoft.com/office/spreadsheetml/2009/9/main" objectType="CheckBox" fmlaLink="$C$28" lockText="1" noThreeD="1"/>
</file>

<file path=xl/ctrlProps/ctrlProp9.xml><?xml version="1.0" encoding="utf-8"?>
<formControlPr xmlns="http://schemas.microsoft.com/office/spreadsheetml/2009/9/main" objectType="CheckBox" fmlaLink="$C$38"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78</xdr:row>
          <xdr:rowOff>9525</xdr:rowOff>
        </xdr:from>
        <xdr:to>
          <xdr:col>0</xdr:col>
          <xdr:colOff>3514725</xdr:colOff>
          <xdr:row>85</xdr:row>
          <xdr:rowOff>0</xdr:rowOff>
        </xdr:to>
        <xdr:sp macro="" textlink="">
          <xdr:nvSpPr>
            <xdr:cNvPr id="7174" name="Group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Segoe UI"/>
                  <a:cs typeface="Segoe UI"/>
                </a:rPr>
                <a:t>Zone de groupe 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2</xdr:row>
          <xdr:rowOff>28575</xdr:rowOff>
        </xdr:from>
        <xdr:to>
          <xdr:col>10</xdr:col>
          <xdr:colOff>238125</xdr:colOff>
          <xdr:row>2</xdr:row>
          <xdr:rowOff>219075</xdr:rowOff>
        </xdr:to>
        <xdr:sp macro="" textlink="">
          <xdr:nvSpPr>
            <xdr:cNvPr id="8237" name="Drop Down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21</xdr:row>
          <xdr:rowOff>180975</xdr:rowOff>
        </xdr:from>
        <xdr:to>
          <xdr:col>3</xdr:col>
          <xdr:colOff>104775</xdr:colOff>
          <xdr:row>22</xdr:row>
          <xdr:rowOff>180975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22</xdr:row>
          <xdr:rowOff>180975</xdr:rowOff>
        </xdr:from>
        <xdr:to>
          <xdr:col>3</xdr:col>
          <xdr:colOff>104775</xdr:colOff>
          <xdr:row>24</xdr:row>
          <xdr:rowOff>28575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180975</xdr:rowOff>
        </xdr:from>
        <xdr:to>
          <xdr:col>3</xdr:col>
          <xdr:colOff>104775</xdr:colOff>
          <xdr:row>25</xdr:row>
          <xdr:rowOff>28575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161925</xdr:rowOff>
        </xdr:from>
        <xdr:to>
          <xdr:col>3</xdr:col>
          <xdr:colOff>104775</xdr:colOff>
          <xdr:row>26</xdr:row>
          <xdr:rowOff>9525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25</xdr:row>
          <xdr:rowOff>180975</xdr:rowOff>
        </xdr:from>
        <xdr:to>
          <xdr:col>3</xdr:col>
          <xdr:colOff>104775</xdr:colOff>
          <xdr:row>27</xdr:row>
          <xdr:rowOff>28575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26</xdr:row>
          <xdr:rowOff>152400</xdr:rowOff>
        </xdr:from>
        <xdr:to>
          <xdr:col>3</xdr:col>
          <xdr:colOff>104775</xdr:colOff>
          <xdr:row>28</xdr:row>
          <xdr:rowOff>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36</xdr:row>
          <xdr:rowOff>180975</xdr:rowOff>
        </xdr:from>
        <xdr:to>
          <xdr:col>3</xdr:col>
          <xdr:colOff>104775</xdr:colOff>
          <xdr:row>37</xdr:row>
          <xdr:rowOff>180975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37</xdr:row>
          <xdr:rowOff>180975</xdr:rowOff>
        </xdr:from>
        <xdr:to>
          <xdr:col>3</xdr:col>
          <xdr:colOff>104775</xdr:colOff>
          <xdr:row>39</xdr:row>
          <xdr:rowOff>28575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100-00004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38</xdr:row>
          <xdr:rowOff>180975</xdr:rowOff>
        </xdr:from>
        <xdr:to>
          <xdr:col>3</xdr:col>
          <xdr:colOff>104775</xdr:colOff>
          <xdr:row>40</xdr:row>
          <xdr:rowOff>28575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39</xdr:row>
          <xdr:rowOff>161925</xdr:rowOff>
        </xdr:from>
        <xdr:to>
          <xdr:col>3</xdr:col>
          <xdr:colOff>104775</xdr:colOff>
          <xdr:row>41</xdr:row>
          <xdr:rowOff>9525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1077067</xdr:colOff>
      <xdr:row>0</xdr:row>
      <xdr:rowOff>74085</xdr:rowOff>
    </xdr:from>
    <xdr:to>
      <xdr:col>0</xdr:col>
      <xdr:colOff>2719917</xdr:colOff>
      <xdr:row>3</xdr:row>
      <xdr:rowOff>260258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7067" y="74085"/>
          <a:ext cx="1642850" cy="863506"/>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107"/>
  <sheetViews>
    <sheetView topLeftCell="A55" workbookViewId="0">
      <selection activeCell="A27" sqref="A27"/>
    </sheetView>
  </sheetViews>
  <sheetFormatPr baseColWidth="10" defaultRowHeight="15" x14ac:dyDescent="0.25"/>
  <cols>
    <col min="1" max="1" width="52.85546875" customWidth="1"/>
    <col min="2" max="2" width="9.7109375" customWidth="1"/>
    <col min="3" max="3" width="9.42578125" customWidth="1"/>
    <col min="4" max="4" width="10.85546875" customWidth="1"/>
    <col min="5" max="10" width="9.85546875" customWidth="1"/>
    <col min="11" max="11" width="9.42578125" bestFit="1" customWidth="1"/>
    <col min="12" max="14" width="8.42578125" bestFit="1" customWidth="1"/>
    <col min="15" max="15" width="10.42578125" bestFit="1" customWidth="1"/>
  </cols>
  <sheetData>
    <row r="1" spans="1:5" x14ac:dyDescent="0.25">
      <c r="B1" s="236" t="s">
        <v>137</v>
      </c>
      <c r="C1" s="236"/>
      <c r="D1" s="148" t="s">
        <v>142</v>
      </c>
      <c r="E1" s="148"/>
    </row>
    <row r="2" spans="1:5" x14ac:dyDescent="0.25">
      <c r="A2" s="1" t="s">
        <v>117</v>
      </c>
      <c r="B2" s="2" t="s">
        <v>14</v>
      </c>
      <c r="C2" s="68" t="s">
        <v>136</v>
      </c>
      <c r="D2" s="1" t="s">
        <v>14</v>
      </c>
      <c r="E2" s="68" t="s">
        <v>136</v>
      </c>
    </row>
    <row r="3" spans="1:5" x14ac:dyDescent="0.25">
      <c r="A3" t="s">
        <v>144</v>
      </c>
      <c r="B3" s="125">
        <v>50</v>
      </c>
      <c r="C3" s="69">
        <f t="shared" ref="C3:C17" si="0">$B3*90%</f>
        <v>45</v>
      </c>
      <c r="D3" s="149">
        <f>MROUND(IF($D$81=1,B3*$C$80,IF($D$81=2,B3*$C$81,IF($D$81=3,B3*$C$82,IF($D$81=4,B3*$C$83,IF($D$81=5,B3*$C$84,B4*$C$85))))),0.5)</f>
        <v>50</v>
      </c>
      <c r="E3" s="70">
        <f t="shared" ref="E3:E9" si="1">IF($D$81=1,C3*$C$80,IF($D$81=2,C3*$C$81,IF($D$81=3,C3*$C$82,IF($D$81=4,C3*$C$83,IF($D$81=5,C3*$C$84,C3*$C$85)))))</f>
        <v>45</v>
      </c>
    </row>
    <row r="4" spans="1:5" x14ac:dyDescent="0.25">
      <c r="A4" s="73" t="s">
        <v>120</v>
      </c>
      <c r="B4" s="16">
        <v>30</v>
      </c>
      <c r="C4" s="69">
        <f>$B4*90%</f>
        <v>27</v>
      </c>
      <c r="D4" s="149">
        <f>MROUND(IF($D$81=1,B4*$C$80,IF($D$81=2,B4*$C$81,IF($D$81=3,B4*$C$82,IF($D$81=4,B4*$C$83,IF($D$81=5,B4*$C$84,B5*$C$85))))),0.5)</f>
        <v>30</v>
      </c>
      <c r="E4" s="70">
        <f t="shared" si="1"/>
        <v>27</v>
      </c>
    </row>
    <row r="5" spans="1:5" x14ac:dyDescent="0.25">
      <c r="A5" s="72" t="s">
        <v>143</v>
      </c>
      <c r="B5" s="6">
        <v>70</v>
      </c>
      <c r="C5" s="69">
        <f t="shared" si="0"/>
        <v>63</v>
      </c>
      <c r="D5" s="149">
        <f>MROUND(IF($D$81=1,B5*$C$80,IF($D$81=2,B5*$C$81,IF($D$81=3,B5*$C$82,IF($D$81=4,B5*$C$83,IF($D$81=5,B5*$C$84,B6*$C$85))))),0.5)</f>
        <v>70</v>
      </c>
      <c r="E5" s="70">
        <f t="shared" si="1"/>
        <v>63</v>
      </c>
    </row>
    <row r="6" spans="1:5" x14ac:dyDescent="0.25">
      <c r="A6" s="74" t="s">
        <v>121</v>
      </c>
      <c r="B6" s="6">
        <v>180</v>
      </c>
      <c r="C6" s="69">
        <f t="shared" si="0"/>
        <v>162</v>
      </c>
      <c r="D6" s="149">
        <f>MROUND(IF($D$81=1,B6*$C$80,IF($D$81=2,B6*$C$81,IF($D$81=3,B6*$C$82,IF($D$81=4,B6*$C$83,IF($D$81=5,B6*$C$84,B7*$C$85))))),0.5)</f>
        <v>180</v>
      </c>
      <c r="E6" s="70">
        <f t="shared" si="1"/>
        <v>162</v>
      </c>
    </row>
    <row r="7" spans="1:5" x14ac:dyDescent="0.25">
      <c r="A7" s="72" t="s">
        <v>122</v>
      </c>
      <c r="B7" s="125">
        <v>50</v>
      </c>
      <c r="C7" s="69">
        <f t="shared" si="0"/>
        <v>45</v>
      </c>
      <c r="D7" s="149">
        <f>MROUND(IF($D$81=1,B7*$C$80,IF($D$81=2,B7*$C$81,IF($D$81=3,B7*$C$82,IF($D$81=4,B7*$C$83,IF($D$81=5,B7*$C$84,B8*$C$85))))),0.5)</f>
        <v>50</v>
      </c>
      <c r="E7" s="70">
        <f t="shared" si="1"/>
        <v>45</v>
      </c>
    </row>
    <row r="8" spans="1:5" x14ac:dyDescent="0.25">
      <c r="A8" s="72" t="s">
        <v>128</v>
      </c>
      <c r="B8" s="6">
        <v>70</v>
      </c>
      <c r="C8" s="69">
        <f t="shared" si="0"/>
        <v>63</v>
      </c>
      <c r="D8" s="149">
        <f>MROUND(IF($D$81=1,B8*$C$80,IF($D$81=2,B8*$C$81,IF($D$81=3,B8*$C$82,IF($D$81=4,B8*$C$83,IF($D$81=5,B8*$C$84,B9*$C$85))))),0.5)</f>
        <v>70</v>
      </c>
      <c r="E8" s="70">
        <f t="shared" si="1"/>
        <v>63</v>
      </c>
    </row>
    <row r="9" spans="1:5" x14ac:dyDescent="0.25">
      <c r="A9" s="147" t="s">
        <v>129</v>
      </c>
      <c r="B9" s="11">
        <v>100</v>
      </c>
      <c r="C9" s="69">
        <f t="shared" si="0"/>
        <v>90</v>
      </c>
      <c r="D9" s="149">
        <f>MROUND(IF($D$81=1,B9*$C$80,IF($D$81=2,B9*$C$81,IF($D$81=3,B9*$C$82,IF($D$81=4,B9*$C$83,IF($D$81=5,B9*$C$84,B10*$C$85))))),0.5)</f>
        <v>100</v>
      </c>
      <c r="E9" s="70">
        <f t="shared" si="1"/>
        <v>90</v>
      </c>
    </row>
    <row r="10" spans="1:5" x14ac:dyDescent="0.25">
      <c r="A10" s="1" t="s">
        <v>119</v>
      </c>
      <c r="B10" s="2" t="s">
        <v>14</v>
      </c>
      <c r="C10" s="68" t="s">
        <v>136</v>
      </c>
      <c r="D10" s="1" t="s">
        <v>14</v>
      </c>
      <c r="E10" s="68" t="s">
        <v>136</v>
      </c>
    </row>
    <row r="11" spans="1:5" x14ac:dyDescent="0.25">
      <c r="A11" s="72" t="s">
        <v>123</v>
      </c>
      <c r="B11" s="6">
        <v>70</v>
      </c>
      <c r="C11" s="69">
        <f t="shared" si="0"/>
        <v>63</v>
      </c>
      <c r="D11" s="149">
        <f>MROUND(IF($D$81=1,B11*$C$80,IF($D$81=2,B11*$C$81,IF($D$81=3,B11*$C$82,IF($D$81=4,B11*$C$83,IF($D$81=5,B11*$C$84,B25*$C$85))))),0.5)</f>
        <v>70</v>
      </c>
      <c r="E11" s="70">
        <f t="shared" ref="E11:E17" si="2">IF($D$81=1,C11*$C$80,IF($D$81=2,C11*$C$81,IF($D$81=3,C11*$C$82,IF($D$81=4,C11*$C$83,IF($D$81=5,C11*$C$84,C11*$C$85)))))</f>
        <v>63</v>
      </c>
    </row>
    <row r="12" spans="1:5" x14ac:dyDescent="0.25">
      <c r="A12" s="72" t="s">
        <v>130</v>
      </c>
      <c r="B12" s="125">
        <v>70</v>
      </c>
      <c r="C12" s="69">
        <f t="shared" si="0"/>
        <v>63</v>
      </c>
      <c r="D12" s="149">
        <f>MROUND(IF($D$81=1,B12*$C$80,IF($D$81=2,B12*$C$81,IF($D$81=3,B12*$C$82,IF($D$81=4,B12*$C$83,IF($D$81=5,B12*$C$84,B13*$C$85))))),0.5)</f>
        <v>70</v>
      </c>
      <c r="E12" s="70">
        <f t="shared" si="2"/>
        <v>63</v>
      </c>
    </row>
    <row r="13" spans="1:5" x14ac:dyDescent="0.25">
      <c r="A13" s="72" t="s">
        <v>125</v>
      </c>
      <c r="B13" s="6">
        <v>100</v>
      </c>
      <c r="C13" s="69">
        <f t="shared" si="0"/>
        <v>90</v>
      </c>
      <c r="D13" s="149">
        <f>MROUND(IF($D$81=1,B13*$C$80,IF($D$81=2,B13*$C$81,IF($D$81=3,B13*$C$82,IF($D$81=4,B13*$C$83,IF($D$81=5,B13*$C$84,B14*$C$85))))),0.5)</f>
        <v>100</v>
      </c>
      <c r="E13" s="70">
        <f t="shared" si="2"/>
        <v>90</v>
      </c>
    </row>
    <row r="14" spans="1:5" x14ac:dyDescent="0.25">
      <c r="A14" s="72" t="s">
        <v>126</v>
      </c>
      <c r="B14" s="125">
        <v>70</v>
      </c>
      <c r="C14" s="69">
        <f t="shared" si="0"/>
        <v>63</v>
      </c>
      <c r="D14" s="149">
        <f>MROUND(IF($D$81=1,B14*$C$80,IF($D$81=2,B14*$C$81,IF($D$81=3,B14*$C$82,IF($D$81=4,B14*$C$83,IF($D$81=5,B14*$C$84,B16*$C$85))))),0.5)</f>
        <v>70</v>
      </c>
      <c r="E14" s="70">
        <f t="shared" si="2"/>
        <v>63</v>
      </c>
    </row>
    <row r="15" spans="1:5" x14ac:dyDescent="0.25">
      <c r="A15" s="147" t="s">
        <v>129</v>
      </c>
      <c r="B15" s="11">
        <v>100</v>
      </c>
      <c r="C15" s="69">
        <f t="shared" si="0"/>
        <v>90</v>
      </c>
      <c r="D15" s="149">
        <f>MROUND(IF($D$81=1,B15*$C$80,IF($D$81=2,B15*$C$81,IF($D$81=3,B15*$C$82,IF($D$81=4,B15*$C$83,IF($D$81=5,B15*$C$84,B16*$C$85))))),0.5)</f>
        <v>100</v>
      </c>
      <c r="E15" s="70">
        <f t="shared" si="2"/>
        <v>90</v>
      </c>
    </row>
    <row r="16" spans="1:5" x14ac:dyDescent="0.25">
      <c r="A16" s="72" t="s">
        <v>127</v>
      </c>
      <c r="B16" s="125">
        <v>50</v>
      </c>
      <c r="C16" s="69">
        <f t="shared" si="0"/>
        <v>45</v>
      </c>
      <c r="D16" s="149">
        <f>MROUND(IF($D$81=1,B16*$C$80,IF($D$81=2,B16*$C$81,IF($D$81=3,B16*$C$82,IF($D$81=4,B16*$C$83,IF($D$81=5,B16*$C$84,B17*$C$85))))),0.5)</f>
        <v>50</v>
      </c>
      <c r="E16" s="70">
        <f t="shared" si="2"/>
        <v>45</v>
      </c>
    </row>
    <row r="17" spans="1:9" x14ac:dyDescent="0.25">
      <c r="A17" s="72" t="s">
        <v>131</v>
      </c>
      <c r="B17" s="125">
        <v>100</v>
      </c>
      <c r="C17" s="69">
        <f t="shared" si="0"/>
        <v>90</v>
      </c>
      <c r="D17" s="149">
        <f>MROUND(IF($D$81=1,B17*$C$80,IF($D$81=2,B17*$C$81,IF($D$81=3,B17*$C$82,IF($D$81=4,B17*$C$83,IF($D$81=5,B17*$C$84,B18*$C$85))))),0.5)</f>
        <v>100</v>
      </c>
      <c r="E17" s="70">
        <f t="shared" si="2"/>
        <v>90</v>
      </c>
    </row>
    <row r="18" spans="1:9" x14ac:dyDescent="0.25">
      <c r="D18" s="150"/>
    </row>
    <row r="19" spans="1:9" x14ac:dyDescent="0.25">
      <c r="A19" s="1" t="s">
        <v>118</v>
      </c>
      <c r="B19" s="2" t="s">
        <v>14</v>
      </c>
      <c r="C19" s="68" t="s">
        <v>136</v>
      </c>
      <c r="D19" s="1" t="s">
        <v>14</v>
      </c>
      <c r="E19" s="68" t="s">
        <v>136</v>
      </c>
    </row>
    <row r="20" spans="1:9" x14ac:dyDescent="0.25">
      <c r="A20" s="75" t="s">
        <v>132</v>
      </c>
      <c r="B20" s="8">
        <v>50</v>
      </c>
      <c r="C20" s="71">
        <v>50</v>
      </c>
      <c r="D20" s="149">
        <f>IF($D$81=1,B20*$C$80,IF($D$81=2,B20*$C$81,IF($D$81=3,B20*$C$82,IF($D$81=4,B20*$C$83,B20*$C$85))))</f>
        <v>50</v>
      </c>
      <c r="E20" s="76">
        <f>MROUND(IF($D$81=1,C20*$C$80,IF($D$81=2,C20*$C$81,IF($D$81=3,C20*$C$82,IF($D$81=4,C20*$C$83,IF($D$81=5,C20*$C$84,C20*$C$85))))),0.5)</f>
        <v>50</v>
      </c>
    </row>
    <row r="21" spans="1:9" x14ac:dyDescent="0.25">
      <c r="A21" s="1" t="s">
        <v>160</v>
      </c>
      <c r="B21" s="2" t="s">
        <v>162</v>
      </c>
      <c r="C21" s="68" t="s">
        <v>136</v>
      </c>
      <c r="D21" s="1" t="s">
        <v>14</v>
      </c>
      <c r="E21" s="68" t="s">
        <v>136</v>
      </c>
    </row>
    <row r="22" spans="1:9" x14ac:dyDescent="0.25">
      <c r="A22" s="75" t="s">
        <v>165</v>
      </c>
      <c r="B22" s="8">
        <v>150</v>
      </c>
      <c r="C22" s="71">
        <v>150</v>
      </c>
      <c r="D22" s="149">
        <f>IF($D$81=1,B22*$C$80,IF($D$81=2,B22*$C$81,IF($D$81=3,B22*$C$82,IF($D$81=4,B22*$C$83,B22*$C$85))))</f>
        <v>150</v>
      </c>
      <c r="E22" s="76">
        <f>MROUND(IF($D$81=1,C22*$C$80,IF($D$81=2,C22*$C$81,IF($D$81=3,C22*$C$82,IF($D$81=4,C22*$C$83,IF($D$81=5,C22*$C$84,C22*$C$85))))),0.5)</f>
        <v>150</v>
      </c>
      <c r="F22" s="338" t="s">
        <v>163</v>
      </c>
    </row>
    <row r="23" spans="1:9" x14ac:dyDescent="0.25">
      <c r="A23" s="75" t="s">
        <v>166</v>
      </c>
      <c r="B23" s="8">
        <v>300</v>
      </c>
      <c r="C23" s="71">
        <v>300</v>
      </c>
      <c r="D23" s="149">
        <f>IF($D$81=1,B23*$C$80,IF($D$81=2,B23*$C$81,IF($D$81=3,B23*$C$82,IF($D$81=4,B23*$C$83,B23*$C$85))))</f>
        <v>300</v>
      </c>
      <c r="E23" s="76">
        <f>MROUND(IF($D$81=1,C23*$C$80,IF($D$81=2,C23*$C$81,IF($D$81=3,C23*$C$82,IF($D$81=4,C23*$C$83,IF($D$81=5,C23*$C$84,C23*$C$85))))),0.5)</f>
        <v>300</v>
      </c>
      <c r="F23" t="s">
        <v>164</v>
      </c>
    </row>
    <row r="25" spans="1:9" x14ac:dyDescent="0.25">
      <c r="A25" s="72" t="s">
        <v>124</v>
      </c>
      <c r="B25" s="125">
        <v>20</v>
      </c>
      <c r="C25" s="69">
        <f>$B25*90%</f>
        <v>18</v>
      </c>
      <c r="D25" s="149">
        <f>MROUND(IF($D$81=1,B25*$C$80,IF($D$81=2,B25*$C$81,IF($D$81=3,B25*$C$82,IF($D$81=4,B25*$C$83,IF($D$81=5,B25*$C$84,B12*$C$85))))),0.5)</f>
        <v>20</v>
      </c>
      <c r="E25" s="70">
        <f>IF($D$81=1,C25*$C$80,IF($D$81=2,C25*$C$81,IF($D$81=3,C25*$C$82,IF($D$81=4,C25*$C$83,IF($D$81=5,C25*$C$84,C25*$C$85)))))</f>
        <v>18</v>
      </c>
    </row>
    <row r="28" spans="1:9" x14ac:dyDescent="0.25">
      <c r="A28" s="10"/>
      <c r="B28" s="11"/>
      <c r="C28" s="4"/>
      <c r="D28" s="4"/>
      <c r="E28" s="4"/>
      <c r="F28" s="4"/>
      <c r="G28" s="4"/>
      <c r="H28" s="4"/>
      <c r="I28" s="4"/>
    </row>
    <row r="29" spans="1:9" x14ac:dyDescent="0.25">
      <c r="A29" s="1" t="s">
        <v>153</v>
      </c>
      <c r="B29" s="3" t="s">
        <v>14</v>
      </c>
      <c r="C29" s="4"/>
      <c r="D29" s="4"/>
      <c r="E29" s="4">
        <f>144/180</f>
        <v>0.8</v>
      </c>
      <c r="F29" s="4"/>
      <c r="G29" s="4"/>
      <c r="H29" s="4"/>
      <c r="I29" s="4"/>
    </row>
    <row r="30" spans="1:9" x14ac:dyDescent="0.25">
      <c r="A30" s="12" t="s">
        <v>152</v>
      </c>
      <c r="B30" s="5">
        <v>40</v>
      </c>
      <c r="C30" s="4"/>
      <c r="D30" s="4"/>
      <c r="E30" s="4"/>
      <c r="F30" s="4"/>
      <c r="G30" s="4"/>
      <c r="H30" s="4"/>
      <c r="I30" s="4"/>
    </row>
    <row r="31" spans="1:9" x14ac:dyDescent="0.25">
      <c r="A31" s="12" t="s">
        <v>154</v>
      </c>
      <c r="B31" s="5">
        <v>35</v>
      </c>
      <c r="C31" s="4"/>
      <c r="D31" s="4"/>
      <c r="E31" s="4"/>
      <c r="F31" s="4"/>
      <c r="G31" s="4"/>
      <c r="H31" s="4"/>
      <c r="I31" s="4"/>
    </row>
    <row r="32" spans="1:9" x14ac:dyDescent="0.25">
      <c r="A32" s="12" t="s">
        <v>155</v>
      </c>
      <c r="B32" s="5">
        <v>25</v>
      </c>
      <c r="C32" s="4"/>
      <c r="D32" s="4"/>
      <c r="E32" s="4"/>
      <c r="F32" s="4"/>
      <c r="G32" s="4"/>
      <c r="H32" s="4"/>
      <c r="I32" s="4"/>
    </row>
    <row r="33" spans="1:9" x14ac:dyDescent="0.25">
      <c r="A33" s="13" t="s">
        <v>156</v>
      </c>
      <c r="B33" s="7">
        <v>40</v>
      </c>
      <c r="C33" s="4"/>
      <c r="D33" s="4"/>
      <c r="E33" s="4"/>
      <c r="F33" s="4"/>
      <c r="G33" s="4"/>
      <c r="H33" s="4"/>
      <c r="I33" s="4"/>
    </row>
    <row r="34" spans="1:9" x14ac:dyDescent="0.25">
      <c r="A34" s="14" t="s">
        <v>2</v>
      </c>
      <c r="B34" s="9">
        <v>25</v>
      </c>
      <c r="C34" s="4"/>
      <c r="D34" s="4"/>
      <c r="E34" s="4"/>
      <c r="F34" s="4"/>
      <c r="G34" s="4"/>
      <c r="H34" s="4"/>
      <c r="I34" s="4"/>
    </row>
    <row r="35" spans="1:9" x14ac:dyDescent="0.25">
      <c r="A35" s="4"/>
      <c r="B35" s="4"/>
      <c r="C35" s="4"/>
      <c r="D35" s="4"/>
      <c r="E35" s="4"/>
      <c r="F35" s="4"/>
      <c r="G35" s="4"/>
      <c r="H35" s="4"/>
      <c r="I35" s="4"/>
    </row>
    <row r="36" spans="1:9" x14ac:dyDescent="0.25">
      <c r="A36" s="1" t="s">
        <v>1</v>
      </c>
      <c r="B36" s="2" t="s">
        <v>3</v>
      </c>
      <c r="C36" s="2" t="s">
        <v>19</v>
      </c>
      <c r="D36" s="2" t="s">
        <v>15</v>
      </c>
      <c r="E36" s="15" t="s">
        <v>16</v>
      </c>
      <c r="F36" s="2" t="s">
        <v>3</v>
      </c>
      <c r="G36" s="2" t="s">
        <v>19</v>
      </c>
      <c r="H36" s="2" t="s">
        <v>15</v>
      </c>
      <c r="I36" s="15" t="s">
        <v>16</v>
      </c>
    </row>
    <row r="37" spans="1:9" s="77" customFormat="1" ht="39" customHeight="1" x14ac:dyDescent="0.25">
      <c r="A37" s="92" t="s">
        <v>145</v>
      </c>
      <c r="B37" s="84">
        <v>600</v>
      </c>
      <c r="C37" s="135">
        <f>ROUNDUP(B37*1.5,0)</f>
        <v>900</v>
      </c>
      <c r="D37" s="93">
        <f>B37*4</f>
        <v>2400</v>
      </c>
      <c r="E37" s="94">
        <f>B37*15</f>
        <v>9000</v>
      </c>
      <c r="F37" s="87">
        <f t="shared" ref="F37:F77" si="3">IF($D$81=2,B37*$C$81,IF($D$81=3,B37*$C$82,IF($D$81=4,B37*$C$83,IF($D$81=5,B37*$C$84,IF($D$81=5,B37*$C$85,B37)))))</f>
        <v>600</v>
      </c>
      <c r="G37" s="87">
        <f t="shared" ref="G37:G77" si="4">IF($D$81=2,C37*$C$81,IF($D$81=3,C37*$C$82,IF($D$81=4,C37*$C$83,IF($D$81=5,C37*$C$84,IF($D$81=5,C37*$C$85,C37)))))</f>
        <v>900</v>
      </c>
      <c r="H37" s="87">
        <f t="shared" ref="H37:H77" si="5">IF($D$81=2,D37*$C$81,IF($D$81=3,D37*$C$82,IF($D$81=4,D37*$C$83,IF($D$81=5,D37*$C$84,IF($D$81=5,D37*$C$85,D37)))))</f>
        <v>2400</v>
      </c>
      <c r="I37" s="87">
        <f t="shared" ref="I37:I77" si="6">IF($D$81=2,E37*$C$81,IF($D$81=3,E37*$C$82,IF($D$81=4,E37*$C$83,IF($D$81=5,E37*$C$84,IF($D$81=5,E37*$C$85,E37)))))</f>
        <v>9000</v>
      </c>
    </row>
    <row r="38" spans="1:9" s="77" customFormat="1" ht="38.25" x14ac:dyDescent="0.25">
      <c r="A38" s="92" t="s">
        <v>146</v>
      </c>
      <c r="B38" s="84">
        <v>200</v>
      </c>
      <c r="C38" s="85">
        <f>ROUNDUP(B38*1.5,0)</f>
        <v>300</v>
      </c>
      <c r="D38" s="93">
        <f>B38*4</f>
        <v>800</v>
      </c>
      <c r="E38" s="94">
        <f>B38*15</f>
        <v>3000</v>
      </c>
      <c r="F38" s="87">
        <f t="shared" si="3"/>
        <v>200</v>
      </c>
      <c r="G38" s="87">
        <f t="shared" si="4"/>
        <v>300</v>
      </c>
      <c r="H38" s="87">
        <f t="shared" si="5"/>
        <v>800</v>
      </c>
      <c r="I38" s="87">
        <f t="shared" si="6"/>
        <v>3000</v>
      </c>
    </row>
    <row r="39" spans="1:9" s="99" customFormat="1" ht="38.25" x14ac:dyDescent="0.25">
      <c r="A39" s="95" t="s">
        <v>82</v>
      </c>
      <c r="B39" s="96">
        <v>200</v>
      </c>
      <c r="C39" s="97">
        <f t="shared" ref="C39:C77" si="7">ROUNDUP(B39*1.5,0)</f>
        <v>300</v>
      </c>
      <c r="D39" s="97">
        <f t="shared" ref="D39:D76" si="8">B39*4</f>
        <v>800</v>
      </c>
      <c r="E39" s="98">
        <f t="shared" ref="E39:E76" si="9">B39*15</f>
        <v>3000</v>
      </c>
      <c r="F39" s="100">
        <f t="shared" si="3"/>
        <v>200</v>
      </c>
      <c r="G39" s="100">
        <f t="shared" si="4"/>
        <v>300</v>
      </c>
      <c r="H39" s="100">
        <f t="shared" si="5"/>
        <v>800</v>
      </c>
      <c r="I39" s="100">
        <f t="shared" si="6"/>
        <v>3000</v>
      </c>
    </row>
    <row r="40" spans="1:9" s="99" customFormat="1" ht="25.5" x14ac:dyDescent="0.25">
      <c r="A40" s="95" t="s">
        <v>106</v>
      </c>
      <c r="B40" s="129">
        <v>80</v>
      </c>
      <c r="C40" s="97">
        <f t="shared" ref="C40:C41" si="10">ROUNDUP(B40*1.5,0)</f>
        <v>120</v>
      </c>
      <c r="D40" s="97">
        <f t="shared" ref="D40:D41" si="11">B40*4</f>
        <v>320</v>
      </c>
      <c r="E40" s="98">
        <f t="shared" ref="E40:E41" si="12">B40*15</f>
        <v>1200</v>
      </c>
      <c r="F40" s="100">
        <f t="shared" si="3"/>
        <v>80</v>
      </c>
      <c r="G40" s="100">
        <f t="shared" si="4"/>
        <v>120</v>
      </c>
      <c r="H40" s="100">
        <f t="shared" si="5"/>
        <v>320</v>
      </c>
      <c r="I40" s="100">
        <f t="shared" si="6"/>
        <v>1200</v>
      </c>
    </row>
    <row r="41" spans="1:9" s="107" customFormat="1" ht="51" x14ac:dyDescent="0.25">
      <c r="A41" s="103" t="s">
        <v>85</v>
      </c>
      <c r="B41" s="104">
        <v>500</v>
      </c>
      <c r="C41" s="105">
        <f t="shared" si="10"/>
        <v>750</v>
      </c>
      <c r="D41" s="105">
        <f t="shared" si="11"/>
        <v>2000</v>
      </c>
      <c r="E41" s="106">
        <f t="shared" si="12"/>
        <v>7500</v>
      </c>
      <c r="F41" s="108">
        <f t="shared" si="3"/>
        <v>500</v>
      </c>
      <c r="G41" s="108">
        <f t="shared" si="4"/>
        <v>750</v>
      </c>
      <c r="H41" s="108">
        <f t="shared" si="5"/>
        <v>2000</v>
      </c>
      <c r="I41" s="108">
        <f t="shared" si="6"/>
        <v>7500</v>
      </c>
    </row>
    <row r="42" spans="1:9" s="107" customFormat="1" ht="25.5" x14ac:dyDescent="0.25">
      <c r="A42" s="103" t="s">
        <v>84</v>
      </c>
      <c r="B42" s="104">
        <v>220</v>
      </c>
      <c r="C42" s="105">
        <f t="shared" ref="C42" si="13">ROUNDUP(B42*1.5,0)</f>
        <v>330</v>
      </c>
      <c r="D42" s="105">
        <f t="shared" ref="D42" si="14">B42*4</f>
        <v>880</v>
      </c>
      <c r="E42" s="106">
        <f t="shared" ref="E42" si="15">B42*15</f>
        <v>3300</v>
      </c>
      <c r="F42" s="108">
        <f t="shared" si="3"/>
        <v>220</v>
      </c>
      <c r="G42" s="108">
        <f t="shared" si="4"/>
        <v>330</v>
      </c>
      <c r="H42" s="108">
        <f t="shared" si="5"/>
        <v>880</v>
      </c>
      <c r="I42" s="108">
        <f t="shared" si="6"/>
        <v>3300</v>
      </c>
    </row>
    <row r="43" spans="1:9" s="107" customFormat="1" ht="25.5" x14ac:dyDescent="0.25">
      <c r="A43" s="103" t="s">
        <v>83</v>
      </c>
      <c r="B43" s="104">
        <v>170</v>
      </c>
      <c r="C43" s="105">
        <f t="shared" ref="C43:C44" si="16">ROUNDUP(B43*1.5,0)</f>
        <v>255</v>
      </c>
      <c r="D43" s="105">
        <f t="shared" ref="D43:D44" si="17">B43*4</f>
        <v>680</v>
      </c>
      <c r="E43" s="106">
        <f t="shared" ref="E43:E44" si="18">B43*15</f>
        <v>2550</v>
      </c>
      <c r="F43" s="108">
        <f t="shared" si="3"/>
        <v>170</v>
      </c>
      <c r="G43" s="108">
        <f t="shared" si="4"/>
        <v>255</v>
      </c>
      <c r="H43" s="108">
        <f t="shared" si="5"/>
        <v>680</v>
      </c>
      <c r="I43" s="108">
        <f t="shared" si="6"/>
        <v>2550</v>
      </c>
    </row>
    <row r="44" spans="1:9" s="77" customFormat="1" x14ac:dyDescent="0.25">
      <c r="A44" s="91" t="s">
        <v>101</v>
      </c>
      <c r="B44" s="84">
        <v>400</v>
      </c>
      <c r="C44" s="85">
        <f t="shared" si="16"/>
        <v>600</v>
      </c>
      <c r="D44" s="85">
        <f t="shared" si="17"/>
        <v>1600</v>
      </c>
      <c r="E44" s="86">
        <f t="shared" si="18"/>
        <v>6000</v>
      </c>
      <c r="F44" s="87">
        <f t="shared" si="3"/>
        <v>400</v>
      </c>
      <c r="G44" s="87">
        <f t="shared" si="4"/>
        <v>600</v>
      </c>
      <c r="H44" s="87">
        <f t="shared" si="5"/>
        <v>1600</v>
      </c>
      <c r="I44" s="87">
        <f t="shared" si="6"/>
        <v>6000</v>
      </c>
    </row>
    <row r="45" spans="1:9" s="77" customFormat="1" x14ac:dyDescent="0.25">
      <c r="A45" s="83" t="s">
        <v>17</v>
      </c>
      <c r="B45" s="84">
        <v>100</v>
      </c>
      <c r="C45" s="85">
        <f t="shared" si="7"/>
        <v>150</v>
      </c>
      <c r="D45" s="85">
        <f t="shared" si="8"/>
        <v>400</v>
      </c>
      <c r="E45" s="86">
        <f t="shared" si="9"/>
        <v>1500</v>
      </c>
      <c r="F45" s="87">
        <f t="shared" si="3"/>
        <v>100</v>
      </c>
      <c r="G45" s="87">
        <f t="shared" si="4"/>
        <v>150</v>
      </c>
      <c r="H45" s="87">
        <f t="shared" si="5"/>
        <v>400</v>
      </c>
      <c r="I45" s="87">
        <f t="shared" si="6"/>
        <v>1500</v>
      </c>
    </row>
    <row r="46" spans="1:9" s="77" customFormat="1" ht="25.5" x14ac:dyDescent="0.25">
      <c r="A46" s="88" t="s">
        <v>18</v>
      </c>
      <c r="B46" s="89">
        <v>15</v>
      </c>
      <c r="C46" s="85">
        <f t="shared" si="7"/>
        <v>23</v>
      </c>
      <c r="D46" s="85">
        <f t="shared" si="8"/>
        <v>60</v>
      </c>
      <c r="E46" s="86">
        <f t="shared" si="9"/>
        <v>225</v>
      </c>
      <c r="F46" s="87">
        <f t="shared" si="3"/>
        <v>15</v>
      </c>
      <c r="G46" s="87">
        <f t="shared" si="4"/>
        <v>23</v>
      </c>
      <c r="H46" s="87">
        <f t="shared" si="5"/>
        <v>60</v>
      </c>
      <c r="I46" s="87">
        <f t="shared" si="6"/>
        <v>225</v>
      </c>
    </row>
    <row r="47" spans="1:9" s="77" customFormat="1" x14ac:dyDescent="0.25">
      <c r="A47" s="83" t="s">
        <v>4</v>
      </c>
      <c r="B47" s="90">
        <v>20</v>
      </c>
      <c r="C47" s="85">
        <f t="shared" si="7"/>
        <v>30</v>
      </c>
      <c r="D47" s="85">
        <f t="shared" si="8"/>
        <v>80</v>
      </c>
      <c r="E47" s="86">
        <f t="shared" si="9"/>
        <v>300</v>
      </c>
      <c r="F47" s="87">
        <f t="shared" si="3"/>
        <v>20</v>
      </c>
      <c r="G47" s="87">
        <f t="shared" si="4"/>
        <v>30</v>
      </c>
      <c r="H47" s="87">
        <f t="shared" si="5"/>
        <v>80</v>
      </c>
      <c r="I47" s="87">
        <f t="shared" si="6"/>
        <v>300</v>
      </c>
    </row>
    <row r="48" spans="1:9" s="77" customFormat="1" x14ac:dyDescent="0.25">
      <c r="A48" s="83" t="s">
        <v>5</v>
      </c>
      <c r="B48" s="90">
        <v>20</v>
      </c>
      <c r="C48" s="85">
        <f t="shared" si="7"/>
        <v>30</v>
      </c>
      <c r="D48" s="85">
        <f t="shared" si="8"/>
        <v>80</v>
      </c>
      <c r="E48" s="86">
        <f t="shared" si="9"/>
        <v>300</v>
      </c>
      <c r="F48" s="87">
        <f t="shared" si="3"/>
        <v>20</v>
      </c>
      <c r="G48" s="87">
        <f t="shared" si="4"/>
        <v>30</v>
      </c>
      <c r="H48" s="87">
        <f t="shared" si="5"/>
        <v>80</v>
      </c>
      <c r="I48" s="87">
        <f t="shared" si="6"/>
        <v>300</v>
      </c>
    </row>
    <row r="49" spans="1:9" s="77" customFormat="1" x14ac:dyDescent="0.25">
      <c r="A49" s="136" t="s">
        <v>6</v>
      </c>
      <c r="B49" s="90">
        <v>48</v>
      </c>
      <c r="C49" s="85">
        <f t="shared" si="7"/>
        <v>72</v>
      </c>
      <c r="D49" s="85">
        <f t="shared" si="8"/>
        <v>192</v>
      </c>
      <c r="E49" s="86">
        <f t="shared" si="9"/>
        <v>720</v>
      </c>
      <c r="F49" s="87">
        <f t="shared" si="3"/>
        <v>48</v>
      </c>
      <c r="G49" s="87">
        <f t="shared" si="4"/>
        <v>72</v>
      </c>
      <c r="H49" s="87">
        <f t="shared" si="5"/>
        <v>192</v>
      </c>
      <c r="I49" s="87">
        <f t="shared" si="6"/>
        <v>720</v>
      </c>
    </row>
    <row r="50" spans="1:9" s="77" customFormat="1" x14ac:dyDescent="0.25">
      <c r="A50" s="137" t="s">
        <v>102</v>
      </c>
      <c r="B50" s="89">
        <v>48</v>
      </c>
      <c r="C50" s="85">
        <f t="shared" si="7"/>
        <v>72</v>
      </c>
      <c r="D50" s="85">
        <f t="shared" si="8"/>
        <v>192</v>
      </c>
      <c r="E50" s="86">
        <f t="shared" si="9"/>
        <v>720</v>
      </c>
      <c r="F50" s="87">
        <f t="shared" si="3"/>
        <v>48</v>
      </c>
      <c r="G50" s="87">
        <f t="shared" si="4"/>
        <v>72</v>
      </c>
      <c r="H50" s="87">
        <f t="shared" si="5"/>
        <v>192</v>
      </c>
      <c r="I50" s="87">
        <f t="shared" si="6"/>
        <v>720</v>
      </c>
    </row>
    <row r="51" spans="1:9" s="77" customFormat="1" x14ac:dyDescent="0.25">
      <c r="A51" s="137" t="s">
        <v>102</v>
      </c>
      <c r="B51" s="89">
        <v>48</v>
      </c>
      <c r="C51" s="85">
        <f t="shared" si="7"/>
        <v>72</v>
      </c>
      <c r="D51" s="85">
        <f t="shared" si="8"/>
        <v>192</v>
      </c>
      <c r="E51" s="86">
        <f t="shared" si="9"/>
        <v>720</v>
      </c>
      <c r="F51" s="87">
        <f t="shared" si="3"/>
        <v>48</v>
      </c>
      <c r="G51" s="87">
        <f t="shared" si="4"/>
        <v>72</v>
      </c>
      <c r="H51" s="87">
        <f t="shared" si="5"/>
        <v>192</v>
      </c>
      <c r="I51" s="87">
        <f t="shared" si="6"/>
        <v>720</v>
      </c>
    </row>
    <row r="52" spans="1:9" s="77" customFormat="1" x14ac:dyDescent="0.25">
      <c r="A52" s="138" t="s">
        <v>102</v>
      </c>
      <c r="B52" s="89">
        <v>48</v>
      </c>
      <c r="C52" s="85">
        <f t="shared" si="7"/>
        <v>72</v>
      </c>
      <c r="D52" s="85">
        <f t="shared" si="8"/>
        <v>192</v>
      </c>
      <c r="E52" s="86">
        <f t="shared" si="9"/>
        <v>720</v>
      </c>
      <c r="F52" s="87">
        <f t="shared" si="3"/>
        <v>48</v>
      </c>
      <c r="G52" s="87">
        <f t="shared" si="4"/>
        <v>72</v>
      </c>
      <c r="H52" s="87">
        <f t="shared" si="5"/>
        <v>192</v>
      </c>
      <c r="I52" s="87">
        <f t="shared" si="6"/>
        <v>720</v>
      </c>
    </row>
    <row r="53" spans="1:9" s="77" customFormat="1" ht="32.25" customHeight="1" x14ac:dyDescent="0.25">
      <c r="A53" s="139" t="s">
        <v>147</v>
      </c>
      <c r="B53" s="89">
        <v>120</v>
      </c>
      <c r="C53" s="85">
        <f t="shared" si="7"/>
        <v>180</v>
      </c>
      <c r="D53" s="85">
        <f t="shared" si="8"/>
        <v>480</v>
      </c>
      <c r="E53" s="86">
        <f t="shared" si="9"/>
        <v>1800</v>
      </c>
      <c r="F53" s="87">
        <f t="shared" si="3"/>
        <v>120</v>
      </c>
      <c r="G53" s="87">
        <f t="shared" si="4"/>
        <v>180</v>
      </c>
      <c r="H53" s="87">
        <f t="shared" si="5"/>
        <v>480</v>
      </c>
      <c r="I53" s="87">
        <f t="shared" si="6"/>
        <v>1800</v>
      </c>
    </row>
    <row r="54" spans="1:9" s="77" customFormat="1" ht="25.5" x14ac:dyDescent="0.25">
      <c r="A54" s="91" t="s">
        <v>148</v>
      </c>
      <c r="B54" s="89">
        <v>60</v>
      </c>
      <c r="C54" s="85">
        <f t="shared" si="7"/>
        <v>90</v>
      </c>
      <c r="D54" s="85">
        <f t="shared" si="8"/>
        <v>240</v>
      </c>
      <c r="E54" s="86">
        <f t="shared" si="9"/>
        <v>900</v>
      </c>
      <c r="F54" s="87">
        <f t="shared" si="3"/>
        <v>60</v>
      </c>
      <c r="G54" s="87">
        <f t="shared" si="4"/>
        <v>90</v>
      </c>
      <c r="H54" s="87">
        <f t="shared" si="5"/>
        <v>240</v>
      </c>
      <c r="I54" s="87">
        <f t="shared" si="6"/>
        <v>900</v>
      </c>
    </row>
    <row r="55" spans="1:9" s="77" customFormat="1" x14ac:dyDescent="0.25">
      <c r="A55" s="91" t="s">
        <v>103</v>
      </c>
      <c r="B55" s="89">
        <v>40</v>
      </c>
      <c r="C55" s="85">
        <f t="shared" si="7"/>
        <v>60</v>
      </c>
      <c r="D55" s="85">
        <f t="shared" si="8"/>
        <v>160</v>
      </c>
      <c r="E55" s="86">
        <f t="shared" si="9"/>
        <v>600</v>
      </c>
      <c r="F55" s="87">
        <f t="shared" si="3"/>
        <v>40</v>
      </c>
      <c r="G55" s="87">
        <f t="shared" si="4"/>
        <v>60</v>
      </c>
      <c r="H55" s="87">
        <f t="shared" si="5"/>
        <v>160</v>
      </c>
      <c r="I55" s="87">
        <f t="shared" si="6"/>
        <v>600</v>
      </c>
    </row>
    <row r="56" spans="1:9" s="77" customFormat="1" x14ac:dyDescent="0.25">
      <c r="A56" s="83" t="s">
        <v>86</v>
      </c>
      <c r="B56" s="90">
        <v>30</v>
      </c>
      <c r="C56" s="85">
        <f>ROUNDUP(B56*1.5,0)</f>
        <v>45</v>
      </c>
      <c r="D56" s="85">
        <f>B56*4</f>
        <v>120</v>
      </c>
      <c r="E56" s="86">
        <f>B56*15</f>
        <v>450</v>
      </c>
      <c r="F56" s="87">
        <f t="shared" si="3"/>
        <v>30</v>
      </c>
      <c r="G56" s="87">
        <f t="shared" si="4"/>
        <v>45</v>
      </c>
      <c r="H56" s="87">
        <f t="shared" si="5"/>
        <v>120</v>
      </c>
      <c r="I56" s="87">
        <f t="shared" si="6"/>
        <v>450</v>
      </c>
    </row>
    <row r="57" spans="1:9" s="77" customFormat="1" x14ac:dyDescent="0.25">
      <c r="A57" s="83" t="s">
        <v>8</v>
      </c>
      <c r="B57" s="90">
        <v>20</v>
      </c>
      <c r="C57" s="85">
        <f t="shared" si="7"/>
        <v>30</v>
      </c>
      <c r="D57" s="85">
        <f t="shared" si="8"/>
        <v>80</v>
      </c>
      <c r="E57" s="86">
        <f t="shared" si="9"/>
        <v>300</v>
      </c>
      <c r="F57" s="87">
        <f t="shared" si="3"/>
        <v>20</v>
      </c>
      <c r="G57" s="87">
        <f t="shared" si="4"/>
        <v>30</v>
      </c>
      <c r="H57" s="87">
        <f t="shared" si="5"/>
        <v>80</v>
      </c>
      <c r="I57" s="87">
        <f t="shared" si="6"/>
        <v>300</v>
      </c>
    </row>
    <row r="58" spans="1:9" s="77" customFormat="1" x14ac:dyDescent="0.25">
      <c r="A58" s="83" t="s">
        <v>7</v>
      </c>
      <c r="B58" s="90">
        <v>20</v>
      </c>
      <c r="C58" s="85">
        <f>ROUNDUP(B58*1.5,0)</f>
        <v>30</v>
      </c>
      <c r="D58" s="85">
        <f>B58*4</f>
        <v>80</v>
      </c>
      <c r="E58" s="86">
        <f>B58*15</f>
        <v>300</v>
      </c>
      <c r="F58" s="87">
        <f t="shared" si="3"/>
        <v>20</v>
      </c>
      <c r="G58" s="87">
        <f t="shared" si="4"/>
        <v>30</v>
      </c>
      <c r="H58" s="87">
        <f t="shared" si="5"/>
        <v>80</v>
      </c>
      <c r="I58" s="87">
        <f t="shared" si="6"/>
        <v>300</v>
      </c>
    </row>
    <row r="59" spans="1:9" s="77" customFormat="1" x14ac:dyDescent="0.25">
      <c r="A59" s="83" t="s">
        <v>92</v>
      </c>
      <c r="B59" s="90">
        <v>20</v>
      </c>
      <c r="C59" s="85">
        <f>ROUNDUP(B59*1.5,0)</f>
        <v>30</v>
      </c>
      <c r="D59" s="85">
        <f>B59*4</f>
        <v>80</v>
      </c>
      <c r="E59" s="86">
        <f>B59*15</f>
        <v>300</v>
      </c>
      <c r="F59" s="87">
        <f t="shared" si="3"/>
        <v>20</v>
      </c>
      <c r="G59" s="87">
        <f t="shared" si="4"/>
        <v>30</v>
      </c>
      <c r="H59" s="87">
        <f t="shared" si="5"/>
        <v>80</v>
      </c>
      <c r="I59" s="87">
        <f t="shared" si="6"/>
        <v>300</v>
      </c>
    </row>
    <row r="60" spans="1:9" s="77" customFormat="1" x14ac:dyDescent="0.25">
      <c r="A60" s="83" t="s">
        <v>104</v>
      </c>
      <c r="B60" s="90">
        <v>20</v>
      </c>
      <c r="C60" s="85">
        <f t="shared" ref="C60" si="19">ROUNDUP(B60*1.5,0)</f>
        <v>30</v>
      </c>
      <c r="D60" s="85">
        <f t="shared" ref="D60" si="20">B60*4</f>
        <v>80</v>
      </c>
      <c r="E60" s="86">
        <f t="shared" ref="E60" si="21">B60*15</f>
        <v>300</v>
      </c>
      <c r="F60" s="87">
        <f t="shared" si="3"/>
        <v>20</v>
      </c>
      <c r="G60" s="87">
        <f t="shared" si="4"/>
        <v>30</v>
      </c>
      <c r="H60" s="87">
        <f t="shared" si="5"/>
        <v>80</v>
      </c>
      <c r="I60" s="87">
        <f t="shared" si="6"/>
        <v>300</v>
      </c>
    </row>
    <row r="61" spans="1:9" s="77" customFormat="1" x14ac:dyDescent="0.25">
      <c r="A61" s="83" t="s">
        <v>9</v>
      </c>
      <c r="B61" s="90">
        <v>10</v>
      </c>
      <c r="C61" s="85">
        <f t="shared" si="7"/>
        <v>15</v>
      </c>
      <c r="D61" s="85">
        <f t="shared" si="8"/>
        <v>40</v>
      </c>
      <c r="E61" s="86">
        <f t="shared" si="9"/>
        <v>150</v>
      </c>
      <c r="F61" s="87">
        <f t="shared" si="3"/>
        <v>10</v>
      </c>
      <c r="G61" s="87">
        <f t="shared" si="4"/>
        <v>15</v>
      </c>
      <c r="H61" s="87">
        <f t="shared" si="5"/>
        <v>40</v>
      </c>
      <c r="I61" s="87">
        <f t="shared" si="6"/>
        <v>150</v>
      </c>
    </row>
    <row r="62" spans="1:9" s="77" customFormat="1" x14ac:dyDescent="0.25">
      <c r="A62" s="83" t="s">
        <v>10</v>
      </c>
      <c r="B62" s="90">
        <v>15</v>
      </c>
      <c r="C62" s="85">
        <f t="shared" si="7"/>
        <v>23</v>
      </c>
      <c r="D62" s="85">
        <f t="shared" si="8"/>
        <v>60</v>
      </c>
      <c r="E62" s="86">
        <f t="shared" si="9"/>
        <v>225</v>
      </c>
      <c r="F62" s="87">
        <f t="shared" si="3"/>
        <v>15</v>
      </c>
      <c r="G62" s="87">
        <f t="shared" si="4"/>
        <v>23</v>
      </c>
      <c r="H62" s="87">
        <f t="shared" si="5"/>
        <v>60</v>
      </c>
      <c r="I62" s="87">
        <f t="shared" si="6"/>
        <v>225</v>
      </c>
    </row>
    <row r="63" spans="1:9" s="77" customFormat="1" x14ac:dyDescent="0.25">
      <c r="A63" s="83" t="s">
        <v>149</v>
      </c>
      <c r="B63" s="90">
        <v>60</v>
      </c>
      <c r="C63" s="85">
        <f t="shared" ref="C63" si="22">ROUNDUP(B63*1.5,0)</f>
        <v>90</v>
      </c>
      <c r="D63" s="85">
        <f t="shared" si="8"/>
        <v>240</v>
      </c>
      <c r="E63" s="86">
        <f t="shared" si="9"/>
        <v>900</v>
      </c>
      <c r="F63" s="87">
        <f t="shared" si="3"/>
        <v>60</v>
      </c>
      <c r="G63" s="87">
        <f t="shared" si="4"/>
        <v>90</v>
      </c>
      <c r="H63" s="87">
        <f t="shared" si="5"/>
        <v>240</v>
      </c>
      <c r="I63" s="87">
        <f t="shared" si="6"/>
        <v>900</v>
      </c>
    </row>
    <row r="64" spans="1:9" s="99" customFormat="1" x14ac:dyDescent="0.25">
      <c r="A64" s="101" t="s">
        <v>107</v>
      </c>
      <c r="B64" s="102">
        <v>60</v>
      </c>
      <c r="C64" s="97">
        <f t="shared" si="7"/>
        <v>90</v>
      </c>
      <c r="D64" s="97">
        <f t="shared" si="8"/>
        <v>240</v>
      </c>
      <c r="E64" s="98">
        <f t="shared" si="9"/>
        <v>900</v>
      </c>
      <c r="F64" s="100">
        <f t="shared" si="3"/>
        <v>60</v>
      </c>
      <c r="G64" s="100">
        <f t="shared" si="4"/>
        <v>90</v>
      </c>
      <c r="H64" s="100">
        <f t="shared" si="5"/>
        <v>240</v>
      </c>
      <c r="I64" s="100">
        <f t="shared" si="6"/>
        <v>900</v>
      </c>
    </row>
    <row r="65" spans="1:10" s="99" customFormat="1" x14ac:dyDescent="0.25">
      <c r="A65" s="101" t="s">
        <v>11</v>
      </c>
      <c r="B65" s="102">
        <v>18</v>
      </c>
      <c r="C65" s="97">
        <f t="shared" si="7"/>
        <v>27</v>
      </c>
      <c r="D65" s="97">
        <f t="shared" si="8"/>
        <v>72</v>
      </c>
      <c r="E65" s="98">
        <f t="shared" si="9"/>
        <v>270</v>
      </c>
      <c r="F65" s="100">
        <f t="shared" si="3"/>
        <v>18</v>
      </c>
      <c r="G65" s="100">
        <f t="shared" si="4"/>
        <v>27</v>
      </c>
      <c r="H65" s="100">
        <f t="shared" si="5"/>
        <v>72</v>
      </c>
      <c r="I65" s="100">
        <f t="shared" si="6"/>
        <v>270</v>
      </c>
    </row>
    <row r="66" spans="1:10" s="99" customFormat="1" x14ac:dyDescent="0.25">
      <c r="A66" s="101" t="s">
        <v>12</v>
      </c>
      <c r="B66" s="102">
        <v>16</v>
      </c>
      <c r="C66" s="97">
        <f t="shared" si="7"/>
        <v>24</v>
      </c>
      <c r="D66" s="97">
        <f t="shared" si="8"/>
        <v>64</v>
      </c>
      <c r="E66" s="98">
        <f t="shared" si="9"/>
        <v>240</v>
      </c>
      <c r="F66" s="100">
        <f t="shared" si="3"/>
        <v>16</v>
      </c>
      <c r="G66" s="100">
        <f t="shared" si="4"/>
        <v>24</v>
      </c>
      <c r="H66" s="100">
        <f t="shared" si="5"/>
        <v>64</v>
      </c>
      <c r="I66" s="100">
        <f t="shared" si="6"/>
        <v>240</v>
      </c>
    </row>
    <row r="67" spans="1:10" s="99" customFormat="1" x14ac:dyDescent="0.25">
      <c r="A67" s="101" t="s">
        <v>150</v>
      </c>
      <c r="B67" s="102">
        <v>80</v>
      </c>
      <c r="C67" s="97">
        <f t="shared" ref="C67:C68" si="23">ROUNDUP(B67*1.5,0)</f>
        <v>120</v>
      </c>
      <c r="D67" s="97">
        <f t="shared" ref="D67:D68" si="24">B67*4</f>
        <v>320</v>
      </c>
      <c r="E67" s="98">
        <f t="shared" ref="E67:E68" si="25">B67*15</f>
        <v>1200</v>
      </c>
      <c r="F67" s="100">
        <f t="shared" si="3"/>
        <v>80</v>
      </c>
      <c r="G67" s="100">
        <f t="shared" si="4"/>
        <v>120</v>
      </c>
      <c r="H67" s="100">
        <f t="shared" si="5"/>
        <v>320</v>
      </c>
      <c r="I67" s="100">
        <f t="shared" si="6"/>
        <v>1200</v>
      </c>
    </row>
    <row r="68" spans="1:10" s="99" customFormat="1" x14ac:dyDescent="0.25">
      <c r="A68" s="101" t="s">
        <v>151</v>
      </c>
      <c r="B68" s="102">
        <v>60</v>
      </c>
      <c r="C68" s="97">
        <f t="shared" si="23"/>
        <v>90</v>
      </c>
      <c r="D68" s="97">
        <f t="shared" si="24"/>
        <v>240</v>
      </c>
      <c r="E68" s="98">
        <f t="shared" si="25"/>
        <v>900</v>
      </c>
      <c r="F68" s="100">
        <f t="shared" si="3"/>
        <v>60</v>
      </c>
      <c r="G68" s="100">
        <f t="shared" si="4"/>
        <v>90</v>
      </c>
      <c r="H68" s="100">
        <f t="shared" si="5"/>
        <v>240</v>
      </c>
      <c r="I68" s="100">
        <f t="shared" si="6"/>
        <v>900</v>
      </c>
    </row>
    <row r="69" spans="1:10" s="99" customFormat="1" x14ac:dyDescent="0.25">
      <c r="A69" s="101" t="s">
        <v>13</v>
      </c>
      <c r="B69" s="102">
        <v>12</v>
      </c>
      <c r="C69" s="97">
        <f t="shared" si="7"/>
        <v>18</v>
      </c>
      <c r="D69" s="97">
        <f t="shared" si="8"/>
        <v>48</v>
      </c>
      <c r="E69" s="98">
        <f t="shared" si="9"/>
        <v>180</v>
      </c>
      <c r="F69" s="100">
        <f t="shared" si="3"/>
        <v>12</v>
      </c>
      <c r="G69" s="100">
        <f t="shared" si="4"/>
        <v>18</v>
      </c>
      <c r="H69" s="100">
        <f t="shared" si="5"/>
        <v>48</v>
      </c>
      <c r="I69" s="100">
        <f t="shared" si="6"/>
        <v>180</v>
      </c>
    </row>
    <row r="70" spans="1:10" s="99" customFormat="1" x14ac:dyDescent="0.25">
      <c r="A70" s="101" t="s">
        <v>108</v>
      </c>
      <c r="B70" s="102">
        <v>10</v>
      </c>
      <c r="C70" s="97">
        <f t="shared" si="7"/>
        <v>15</v>
      </c>
      <c r="D70" s="97">
        <f t="shared" si="8"/>
        <v>40</v>
      </c>
      <c r="E70" s="98">
        <f t="shared" si="9"/>
        <v>150</v>
      </c>
      <c r="F70" s="100">
        <f t="shared" si="3"/>
        <v>10</v>
      </c>
      <c r="G70" s="100">
        <f t="shared" si="4"/>
        <v>15</v>
      </c>
      <c r="H70" s="100">
        <f t="shared" si="5"/>
        <v>40</v>
      </c>
      <c r="I70" s="100">
        <f t="shared" si="6"/>
        <v>150</v>
      </c>
    </row>
    <row r="71" spans="1:10" s="107" customFormat="1" x14ac:dyDescent="0.25">
      <c r="A71" s="130" t="s">
        <v>87</v>
      </c>
      <c r="B71" s="104">
        <v>200</v>
      </c>
      <c r="C71" s="105">
        <f t="shared" si="7"/>
        <v>300</v>
      </c>
      <c r="D71" s="105">
        <f t="shared" si="8"/>
        <v>800</v>
      </c>
      <c r="E71" s="106">
        <f t="shared" si="9"/>
        <v>3000</v>
      </c>
      <c r="F71" s="108">
        <f t="shared" si="3"/>
        <v>200</v>
      </c>
      <c r="G71" s="108">
        <f t="shared" si="4"/>
        <v>300</v>
      </c>
      <c r="H71" s="108">
        <f t="shared" si="5"/>
        <v>800</v>
      </c>
      <c r="I71" s="108">
        <f t="shared" si="6"/>
        <v>3000</v>
      </c>
    </row>
    <row r="72" spans="1:10" s="107" customFormat="1" x14ac:dyDescent="0.25">
      <c r="A72" s="130" t="s">
        <v>88</v>
      </c>
      <c r="B72" s="104">
        <v>30</v>
      </c>
      <c r="C72" s="105">
        <f t="shared" si="7"/>
        <v>45</v>
      </c>
      <c r="D72" s="105">
        <f t="shared" si="8"/>
        <v>120</v>
      </c>
      <c r="E72" s="106">
        <f t="shared" si="9"/>
        <v>450</v>
      </c>
      <c r="F72" s="108">
        <f t="shared" si="3"/>
        <v>30</v>
      </c>
      <c r="G72" s="108">
        <f t="shared" si="4"/>
        <v>45</v>
      </c>
      <c r="H72" s="108">
        <f t="shared" si="5"/>
        <v>120</v>
      </c>
      <c r="I72" s="108">
        <f t="shared" si="6"/>
        <v>450</v>
      </c>
    </row>
    <row r="73" spans="1:10" s="107" customFormat="1" x14ac:dyDescent="0.25">
      <c r="A73" s="130" t="s">
        <v>89</v>
      </c>
      <c r="B73" s="104">
        <v>10</v>
      </c>
      <c r="C73" s="105">
        <f t="shared" si="7"/>
        <v>15</v>
      </c>
      <c r="D73" s="105">
        <f t="shared" si="8"/>
        <v>40</v>
      </c>
      <c r="E73" s="106">
        <f t="shared" si="9"/>
        <v>150</v>
      </c>
      <c r="F73" s="108">
        <f t="shared" si="3"/>
        <v>10</v>
      </c>
      <c r="G73" s="108">
        <f t="shared" si="4"/>
        <v>15</v>
      </c>
      <c r="H73" s="108">
        <f t="shared" si="5"/>
        <v>40</v>
      </c>
      <c r="I73" s="108">
        <f t="shared" si="6"/>
        <v>150</v>
      </c>
    </row>
    <row r="74" spans="1:10" s="107" customFormat="1" x14ac:dyDescent="0.25">
      <c r="A74" s="130" t="s">
        <v>105</v>
      </c>
      <c r="B74" s="104">
        <v>20</v>
      </c>
      <c r="C74" s="105">
        <f t="shared" si="7"/>
        <v>30</v>
      </c>
      <c r="D74" s="105">
        <f t="shared" si="8"/>
        <v>80</v>
      </c>
      <c r="E74" s="106">
        <f t="shared" si="9"/>
        <v>300</v>
      </c>
      <c r="F74" s="108">
        <f t="shared" si="3"/>
        <v>20</v>
      </c>
      <c r="G74" s="108">
        <f t="shared" si="4"/>
        <v>30</v>
      </c>
      <c r="H74" s="108">
        <f t="shared" si="5"/>
        <v>80</v>
      </c>
      <c r="I74" s="108">
        <f t="shared" si="6"/>
        <v>300</v>
      </c>
    </row>
    <row r="75" spans="1:10" s="107" customFormat="1" x14ac:dyDescent="0.25">
      <c r="A75" s="130" t="s">
        <v>90</v>
      </c>
      <c r="B75" s="104">
        <v>20</v>
      </c>
      <c r="C75" s="105">
        <f t="shared" si="7"/>
        <v>30</v>
      </c>
      <c r="D75" s="105">
        <f t="shared" si="8"/>
        <v>80</v>
      </c>
      <c r="E75" s="106">
        <f t="shared" si="9"/>
        <v>300</v>
      </c>
      <c r="F75" s="108">
        <f t="shared" si="3"/>
        <v>20</v>
      </c>
      <c r="G75" s="108">
        <f t="shared" si="4"/>
        <v>30</v>
      </c>
      <c r="H75" s="108">
        <f t="shared" si="5"/>
        <v>80</v>
      </c>
      <c r="I75" s="108">
        <f t="shared" si="6"/>
        <v>300</v>
      </c>
    </row>
    <row r="76" spans="1:10" s="107" customFormat="1" x14ac:dyDescent="0.25">
      <c r="A76" s="130" t="s">
        <v>91</v>
      </c>
      <c r="B76" s="104">
        <v>80</v>
      </c>
      <c r="C76" s="105">
        <f t="shared" si="7"/>
        <v>120</v>
      </c>
      <c r="D76" s="105">
        <f t="shared" si="8"/>
        <v>320</v>
      </c>
      <c r="E76" s="106">
        <f t="shared" si="9"/>
        <v>1200</v>
      </c>
      <c r="F76" s="108">
        <f t="shared" si="3"/>
        <v>80</v>
      </c>
      <c r="G76" s="108">
        <f t="shared" si="4"/>
        <v>120</v>
      </c>
      <c r="H76" s="108">
        <f t="shared" si="5"/>
        <v>320</v>
      </c>
      <c r="I76" s="108">
        <f t="shared" si="6"/>
        <v>1200</v>
      </c>
    </row>
    <row r="77" spans="1:10" s="107" customFormat="1" x14ac:dyDescent="0.25">
      <c r="A77" s="130" t="s">
        <v>92</v>
      </c>
      <c r="B77" s="104">
        <v>20</v>
      </c>
      <c r="C77" s="105">
        <f t="shared" si="7"/>
        <v>30</v>
      </c>
      <c r="D77" s="105">
        <f t="shared" ref="D77" si="26">B77*4</f>
        <v>80</v>
      </c>
      <c r="E77" s="106">
        <f t="shared" ref="E77" si="27">B77*15</f>
        <v>300</v>
      </c>
      <c r="F77" s="108">
        <f t="shared" si="3"/>
        <v>20</v>
      </c>
      <c r="G77" s="108">
        <f t="shared" si="4"/>
        <v>30</v>
      </c>
      <c r="H77" s="108">
        <f t="shared" si="5"/>
        <v>80</v>
      </c>
      <c r="I77" s="108">
        <f t="shared" si="6"/>
        <v>300</v>
      </c>
    </row>
    <row r="79" spans="1:10" x14ac:dyDescent="0.25">
      <c r="A79" s="1" t="s">
        <v>26</v>
      </c>
    </row>
    <row r="80" spans="1:10" ht="15.75" thickBot="1" x14ac:dyDescent="0.3">
      <c r="A80" s="27" t="s">
        <v>48</v>
      </c>
      <c r="B80" s="229">
        <v>1</v>
      </c>
      <c r="C80" s="17">
        <v>1</v>
      </c>
      <c r="H80" s="230"/>
      <c r="I80" s="229"/>
      <c r="J80" s="230"/>
    </row>
    <row r="81" spans="1:24" ht="15.75" thickBot="1" x14ac:dyDescent="0.3">
      <c r="A81" s="27" t="s">
        <v>46</v>
      </c>
      <c r="B81" s="229">
        <v>2</v>
      </c>
      <c r="C81" s="17">
        <v>0.5</v>
      </c>
      <c r="D81" s="67">
        <f>IF(ISERROR(VLOOKUP(D82,A80:B85,2,0)),D82,VLOOKUP(D82,A80:B85,2,0))</f>
        <v>1</v>
      </c>
      <c r="E81" t="str">
        <f>IF(D81=1,A80,IF(D81=2,A81,IF(D81=3,A82,IF(D81=4,A83,IF(D81=5,A84,A85)))))</f>
        <v>Tarif non-membre</v>
      </c>
      <c r="H81" s="230"/>
      <c r="I81" s="229"/>
      <c r="J81" s="230"/>
    </row>
    <row r="82" spans="1:24" x14ac:dyDescent="0.25">
      <c r="A82" s="27" t="s">
        <v>37</v>
      </c>
      <c r="B82" s="229">
        <v>3</v>
      </c>
      <c r="C82" s="17">
        <v>0.25</v>
      </c>
      <c r="D82" s="231">
        <v>1</v>
      </c>
      <c r="H82" s="230"/>
      <c r="I82" s="229"/>
      <c r="J82" s="230"/>
    </row>
    <row r="83" spans="1:24" x14ac:dyDescent="0.25">
      <c r="A83" s="27" t="s">
        <v>38</v>
      </c>
      <c r="B83" s="229">
        <v>4</v>
      </c>
      <c r="C83" s="17">
        <v>0.15</v>
      </c>
      <c r="H83" s="230"/>
      <c r="I83" s="229"/>
      <c r="J83" s="230"/>
    </row>
    <row r="84" spans="1:24" x14ac:dyDescent="0.25">
      <c r="A84" s="27" t="s">
        <v>134</v>
      </c>
      <c r="B84" s="229">
        <v>5</v>
      </c>
      <c r="C84" s="17">
        <v>0.1</v>
      </c>
      <c r="H84" s="230"/>
      <c r="I84" s="229"/>
      <c r="J84" s="230"/>
    </row>
    <row r="85" spans="1:24" ht="19.5" customHeight="1" x14ac:dyDescent="0.25">
      <c r="A85" s="27" t="s">
        <v>63</v>
      </c>
      <c r="B85" s="229">
        <v>6</v>
      </c>
      <c r="C85" s="17">
        <v>0</v>
      </c>
      <c r="H85" s="230"/>
      <c r="I85" s="229"/>
      <c r="J85" s="230"/>
    </row>
    <row r="86" spans="1:24" x14ac:dyDescent="0.25">
      <c r="A86" s="1" t="s">
        <v>27</v>
      </c>
      <c r="B86" s="228"/>
    </row>
    <row r="87" spans="1:24" x14ac:dyDescent="0.25">
      <c r="A87" t="s">
        <v>28</v>
      </c>
    </row>
    <row r="88" spans="1:24" x14ac:dyDescent="0.25">
      <c r="A88" t="s">
        <v>29</v>
      </c>
    </row>
    <row r="89" spans="1:24" x14ac:dyDescent="0.25">
      <c r="A89" t="s">
        <v>30</v>
      </c>
    </row>
    <row r="90" spans="1:24" x14ac:dyDescent="0.25">
      <c r="A90" t="s">
        <v>93</v>
      </c>
    </row>
    <row r="91" spans="1:24" x14ac:dyDescent="0.25">
      <c r="A91" s="78" t="s">
        <v>24</v>
      </c>
      <c r="B91" s="78"/>
      <c r="C91" s="78"/>
      <c r="D91" s="78"/>
      <c r="E91" s="78"/>
      <c r="F91" s="78"/>
      <c r="G91" s="78"/>
      <c r="H91" s="78"/>
      <c r="I91" s="78"/>
      <c r="J91" s="78"/>
      <c r="K91" s="78"/>
      <c r="L91" s="78"/>
      <c r="M91" s="78"/>
      <c r="N91" s="78"/>
      <c r="O91" s="78"/>
      <c r="P91" s="78"/>
      <c r="Q91" s="78"/>
      <c r="R91" s="78"/>
      <c r="S91" s="78"/>
    </row>
    <row r="92" spans="1:24" x14ac:dyDescent="0.25">
      <c r="A92" s="78" t="s">
        <v>25</v>
      </c>
      <c r="B92" s="78"/>
      <c r="C92" s="78"/>
      <c r="D92" s="78"/>
      <c r="E92" s="78"/>
      <c r="F92" s="78"/>
      <c r="G92" s="78"/>
      <c r="H92" s="78"/>
      <c r="I92" s="78"/>
      <c r="J92" s="78"/>
      <c r="K92" s="78"/>
      <c r="L92" s="78"/>
      <c r="M92" s="78"/>
      <c r="N92" s="78"/>
      <c r="O92" s="78"/>
      <c r="P92" s="78"/>
      <c r="Q92" s="78"/>
      <c r="R92" s="78"/>
      <c r="S92" s="78"/>
    </row>
    <row r="93" spans="1:24" x14ac:dyDescent="0.25">
      <c r="A93" s="78"/>
      <c r="B93" s="78"/>
      <c r="C93" s="78"/>
      <c r="D93" s="78"/>
      <c r="E93" s="78"/>
      <c r="F93" s="78"/>
      <c r="G93" s="78"/>
      <c r="H93" s="78"/>
      <c r="I93" s="78"/>
      <c r="J93" s="78"/>
      <c r="K93" s="78"/>
      <c r="L93" s="78"/>
      <c r="M93" s="78"/>
      <c r="N93" s="78"/>
      <c r="O93" s="78"/>
      <c r="P93" s="78"/>
      <c r="Q93" s="78"/>
      <c r="R93" s="78"/>
      <c r="S93" s="78"/>
    </row>
    <row r="94" spans="1:24" x14ac:dyDescent="0.25">
      <c r="A94" s="79" t="s">
        <v>31</v>
      </c>
      <c r="B94" s="237" t="s">
        <v>36</v>
      </c>
      <c r="C94" s="237"/>
      <c r="D94" s="234" t="s">
        <v>42</v>
      </c>
      <c r="E94" s="234"/>
      <c r="F94" s="234" t="s">
        <v>40</v>
      </c>
      <c r="G94" s="234"/>
      <c r="H94" s="234" t="s">
        <v>41</v>
      </c>
      <c r="I94" s="234"/>
      <c r="J94" s="234" t="s">
        <v>135</v>
      </c>
      <c r="K94" s="234"/>
      <c r="L94" s="235" t="s">
        <v>43</v>
      </c>
      <c r="M94" s="235"/>
      <c r="P94" s="78"/>
      <c r="Q94" s="78" t="s">
        <v>57</v>
      </c>
      <c r="R94" s="78"/>
      <c r="S94" s="78"/>
      <c r="T94" t="s">
        <v>74</v>
      </c>
      <c r="W94" t="s">
        <v>77</v>
      </c>
    </row>
    <row r="95" spans="1:24" x14ac:dyDescent="0.25">
      <c r="A95" s="80"/>
      <c r="B95" s="81" t="s">
        <v>44</v>
      </c>
      <c r="C95" s="81" t="s">
        <v>45</v>
      </c>
      <c r="D95" s="81" t="s">
        <v>44</v>
      </c>
      <c r="E95" s="81" t="s">
        <v>45</v>
      </c>
      <c r="F95" s="81" t="s">
        <v>44</v>
      </c>
      <c r="G95" s="81" t="s">
        <v>45</v>
      </c>
      <c r="H95" s="81" t="s">
        <v>44</v>
      </c>
      <c r="I95" s="81" t="s">
        <v>45</v>
      </c>
      <c r="J95" s="81" t="s">
        <v>44</v>
      </c>
      <c r="K95" s="81" t="s">
        <v>45</v>
      </c>
      <c r="L95" s="81" t="s">
        <v>44</v>
      </c>
      <c r="M95" s="81" t="s">
        <v>45</v>
      </c>
      <c r="P95" s="78"/>
      <c r="Q95" s="81" t="s">
        <v>44</v>
      </c>
      <c r="R95" s="81" t="s">
        <v>45</v>
      </c>
      <c r="S95" s="78"/>
      <c r="T95" s="81" t="s">
        <v>75</v>
      </c>
      <c r="U95" s="81" t="s">
        <v>76</v>
      </c>
      <c r="W95" s="81" t="s">
        <v>78</v>
      </c>
      <c r="X95" s="81" t="s">
        <v>79</v>
      </c>
    </row>
    <row r="96" spans="1:24" x14ac:dyDescent="0.25">
      <c r="A96" s="115" t="s">
        <v>67</v>
      </c>
      <c r="B96" s="32">
        <v>13</v>
      </c>
      <c r="C96" s="126">
        <f>B98</f>
        <v>200</v>
      </c>
      <c r="D96" s="82">
        <v>7</v>
      </c>
      <c r="E96" s="126">
        <f>D98</f>
        <v>100</v>
      </c>
      <c r="F96" s="82">
        <v>5</v>
      </c>
      <c r="G96" s="126">
        <f>F98</f>
        <v>75</v>
      </c>
      <c r="H96" s="82">
        <v>4</v>
      </c>
      <c r="I96" s="126">
        <f>H98</f>
        <v>55</v>
      </c>
      <c r="J96" s="82">
        <v>3</v>
      </c>
      <c r="K96" s="126">
        <f>J98</f>
        <v>45</v>
      </c>
      <c r="L96" s="82">
        <v>2.5</v>
      </c>
      <c r="M96" s="126">
        <f>L98</f>
        <v>40</v>
      </c>
      <c r="P96" s="78"/>
      <c r="Q96" s="78">
        <f>IF($D$81=1,B96,IF($D$81=2,D96,IF($D$81=3,F96,IF($D$81=4,H96,IF($D$81=5,J96,IF($D$81=6,L96,))))))</f>
        <v>13</v>
      </c>
      <c r="R96" s="78">
        <f>IF($D$81=1,C96,IF($D$81=2,E96,IF($D$81=3,G96,IF($D$81=4,I96,IF($D$81=5,K96,IF($D$81=5,M96))))))</f>
        <v>200</v>
      </c>
      <c r="S96" s="78"/>
      <c r="T96" s="128">
        <f>L96</f>
        <v>2.5</v>
      </c>
      <c r="U96" s="128">
        <f>B96-L96</f>
        <v>10.5</v>
      </c>
      <c r="W96" s="128"/>
      <c r="X96" s="128"/>
    </row>
    <row r="97" spans="1:21" x14ac:dyDescent="0.25">
      <c r="A97" s="114" t="s">
        <v>68</v>
      </c>
      <c r="B97" s="32">
        <v>8</v>
      </c>
      <c r="C97" s="126">
        <f>B99</f>
        <v>120</v>
      </c>
      <c r="D97" s="82">
        <v>4</v>
      </c>
      <c r="E97" s="126">
        <f>D99</f>
        <v>60</v>
      </c>
      <c r="F97" s="82">
        <v>3</v>
      </c>
      <c r="G97" s="126">
        <f>F99</f>
        <v>45</v>
      </c>
      <c r="H97" s="82">
        <v>2</v>
      </c>
      <c r="I97" s="126">
        <f>H99</f>
        <v>30</v>
      </c>
      <c r="J97" s="82">
        <v>1.5</v>
      </c>
      <c r="K97" s="126">
        <f>J99</f>
        <v>25</v>
      </c>
      <c r="L97" s="82">
        <v>1</v>
      </c>
      <c r="M97" s="126">
        <f>L99</f>
        <v>15</v>
      </c>
      <c r="P97" s="78"/>
      <c r="Q97" s="78">
        <f>IF($D$81=1,B97,IF($D$81=2,D97,IF($D$81=3,F97,IF($D$81=4,H97,IF($D$81=5,J97,IF($D$81=6,L97,))))))</f>
        <v>8</v>
      </c>
      <c r="R97" s="78">
        <f>IF($D$81=1,C97,IF($D$81=2,E97,IF($D$81=3,G97,IF($D$81=4,I97,IF($D$81=5,K97,IF($D$81=5,M97))))))</f>
        <v>120</v>
      </c>
      <c r="S97" s="78"/>
      <c r="T97" s="128">
        <f>L97</f>
        <v>1</v>
      </c>
      <c r="U97" s="128">
        <f>B97-L97</f>
        <v>7</v>
      </c>
    </row>
    <row r="98" spans="1:21" ht="15.75" thickBot="1" x14ac:dyDescent="0.3">
      <c r="A98" s="116" t="s">
        <v>71</v>
      </c>
      <c r="B98" s="238">
        <v>200</v>
      </c>
      <c r="C98" s="239"/>
      <c r="D98" s="238">
        <v>100</v>
      </c>
      <c r="E98" s="239"/>
      <c r="F98" s="238">
        <v>75</v>
      </c>
      <c r="G98" s="239"/>
      <c r="H98" s="238">
        <v>55</v>
      </c>
      <c r="I98" s="239"/>
      <c r="J98" s="238">
        <v>45</v>
      </c>
      <c r="K98" s="239"/>
      <c r="L98" s="238">
        <v>40</v>
      </c>
      <c r="M98" s="239"/>
      <c r="P98" s="78"/>
      <c r="Q98" s="78">
        <f>IF($D$81=1,B98,IF($D$81=2,D98,IF($D$81=3,F98,IF($D$81=4,H98,IF($D$81=5,J98,IF($D$81=6,L98,))))))</f>
        <v>200</v>
      </c>
      <c r="R98" s="78">
        <f>IF($D$81=1,C98,IF($D$81=2,E98,IF($D$81=3,G98,IF($D$81=4,I98,IF($D$81=5,K98,IF($D$81=5,M98))))))</f>
        <v>0</v>
      </c>
      <c r="S98" s="78"/>
      <c r="T98" s="128">
        <f>L98</f>
        <v>40</v>
      </c>
      <c r="U98" s="128">
        <f>B98-L98</f>
        <v>160</v>
      </c>
    </row>
    <row r="99" spans="1:21" ht="15.75" thickTop="1" x14ac:dyDescent="0.25">
      <c r="A99" s="114" t="s">
        <v>70</v>
      </c>
      <c r="B99" s="238">
        <v>120</v>
      </c>
      <c r="C99" s="239"/>
      <c r="D99" s="238">
        <v>60</v>
      </c>
      <c r="E99" s="239"/>
      <c r="F99" s="238">
        <v>45</v>
      </c>
      <c r="G99" s="239"/>
      <c r="H99" s="238">
        <v>30</v>
      </c>
      <c r="I99" s="239"/>
      <c r="J99" s="238">
        <v>25</v>
      </c>
      <c r="K99" s="239"/>
      <c r="L99" s="238">
        <v>15</v>
      </c>
      <c r="M99" s="239"/>
      <c r="P99" s="78"/>
      <c r="Q99" s="78">
        <f>IF($D$81=1,B99,IF($D$81=2,D99,IF($D$81=3,F99,IF($D$81=4,H99,IF($D$81=5,J99,IF($D$81=6,L99,))))))</f>
        <v>120</v>
      </c>
      <c r="R99" s="78">
        <f>IF($D$81=1,C99,IF($D$81=2,E99,IF($D$81=3,G99,IF($D$81=4,I99,IF($D$81=5,K99,IF($D$81=5,M99))))))</f>
        <v>0</v>
      </c>
      <c r="S99" s="78"/>
      <c r="T99" s="128">
        <f>L99</f>
        <v>15</v>
      </c>
      <c r="U99" s="128">
        <f>B99-L99</f>
        <v>105</v>
      </c>
    </row>
    <row r="100" spans="1:21" ht="15.75" thickBot="1" x14ac:dyDescent="0.3">
      <c r="A100" s="116" t="s">
        <v>73</v>
      </c>
      <c r="B100" s="238">
        <v>30</v>
      </c>
      <c r="C100" s="239"/>
      <c r="D100" s="238">
        <v>20</v>
      </c>
      <c r="E100" s="239">
        <v>25</v>
      </c>
      <c r="F100" s="238">
        <v>15</v>
      </c>
      <c r="G100" s="239">
        <v>20</v>
      </c>
      <c r="H100" s="238">
        <v>13</v>
      </c>
      <c r="I100" s="239">
        <v>15</v>
      </c>
      <c r="J100" s="238">
        <v>12</v>
      </c>
      <c r="K100" s="239">
        <v>15</v>
      </c>
      <c r="L100" s="238">
        <v>10</v>
      </c>
      <c r="M100" s="239">
        <v>10</v>
      </c>
      <c r="P100" s="78"/>
      <c r="Q100" s="78">
        <f>IF($D$81=1,B100,IF($D$81=2,D100,IF($D$81=3,F100,IF($D$81=4,H100,IF($D$81=5,J100,IF($D$81=6,L100,))))))</f>
        <v>30</v>
      </c>
      <c r="R100" s="78">
        <f>IF($D$81=1,C100,IF($D$81=2,E100,IF($D$81=3,G100,IF($D$81=4,I100,IF($D$81=5,K100,IF($D$81=5,M100))))))</f>
        <v>0</v>
      </c>
      <c r="S100" s="78"/>
      <c r="T100" s="128">
        <f>L100</f>
        <v>10</v>
      </c>
      <c r="U100" s="128">
        <f>B100-L100</f>
        <v>20</v>
      </c>
    </row>
    <row r="101" spans="1:21" ht="15.75" thickTop="1" x14ac:dyDescent="0.25">
      <c r="A101" s="78"/>
      <c r="B101" s="78"/>
      <c r="C101" s="78"/>
      <c r="D101" s="78"/>
      <c r="E101" s="78"/>
      <c r="F101" s="78"/>
      <c r="G101" s="78"/>
      <c r="H101" s="78"/>
      <c r="I101" s="78"/>
      <c r="J101" s="78"/>
      <c r="K101" s="78"/>
      <c r="L101" s="78"/>
      <c r="M101" s="78"/>
      <c r="N101" s="78"/>
      <c r="O101" s="78"/>
      <c r="P101" s="78"/>
      <c r="Q101" s="78"/>
      <c r="R101" s="78"/>
      <c r="S101" s="78"/>
    </row>
    <row r="103" spans="1:21" x14ac:dyDescent="0.25">
      <c r="A103" t="s">
        <v>95</v>
      </c>
      <c r="B103">
        <v>1</v>
      </c>
    </row>
    <row r="104" spans="1:21" x14ac:dyDescent="0.25">
      <c r="A104" t="s">
        <v>96</v>
      </c>
      <c r="B104">
        <v>4</v>
      </c>
    </row>
    <row r="105" spans="1:21" x14ac:dyDescent="0.25">
      <c r="A105" t="s">
        <v>158</v>
      </c>
      <c r="B105">
        <v>30</v>
      </c>
    </row>
    <row r="106" spans="1:21" x14ac:dyDescent="0.25">
      <c r="A106" t="s">
        <v>97</v>
      </c>
      <c r="B106">
        <v>175</v>
      </c>
    </row>
    <row r="107" spans="1:21" x14ac:dyDescent="0.25">
      <c r="A107" t="s">
        <v>159</v>
      </c>
      <c r="B107">
        <v>40</v>
      </c>
    </row>
  </sheetData>
  <sheetProtection sheet="1" selectLockedCells="1" selectUnlockedCells="1"/>
  <mergeCells count="25">
    <mergeCell ref="F100:G100"/>
    <mergeCell ref="H100:I100"/>
    <mergeCell ref="L100:M100"/>
    <mergeCell ref="F98:G98"/>
    <mergeCell ref="H98:I98"/>
    <mergeCell ref="L98:M98"/>
    <mergeCell ref="F99:G99"/>
    <mergeCell ref="H99:I99"/>
    <mergeCell ref="L99:M99"/>
    <mergeCell ref="J98:K98"/>
    <mergeCell ref="J99:K99"/>
    <mergeCell ref="J100:K100"/>
    <mergeCell ref="B100:C100"/>
    <mergeCell ref="B98:C98"/>
    <mergeCell ref="B99:C99"/>
    <mergeCell ref="D98:E98"/>
    <mergeCell ref="D99:E99"/>
    <mergeCell ref="D100:E100"/>
    <mergeCell ref="F94:G94"/>
    <mergeCell ref="H94:I94"/>
    <mergeCell ref="L94:M94"/>
    <mergeCell ref="J94:K94"/>
    <mergeCell ref="B1:C1"/>
    <mergeCell ref="D94:E94"/>
    <mergeCell ref="B94:C94"/>
  </mergeCells>
  <dataValidations count="1">
    <dataValidation allowBlank="1" showInputMessage="1" showErrorMessage="1" errorTitle="Erreur" error="Si vous avez besoins de techniciens de PRIM, choisissez dans la liste déroulante. Les honoraires des techniciens ne sont pas couverts par l'aide documentaire à risque." promptTitle="Copie DCP" prompt="Une copie maître est une copie originale nécessitant un encodage. _x000a__x000a_Une copie supplémentaire est une copie identique d'une copie maître existante." sqref="A96:A100"/>
  </dataValidations>
  <pageMargins left="0.78740157499999996" right="0.78740157499999996" top="0.984251969" bottom="0.984251969"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74" r:id="rId4" name="Group Box 6">
              <controlPr defaultSize="0" autoFill="0" autoPict="0">
                <anchor moveWithCells="1">
                  <from>
                    <xdr:col>0</xdr:col>
                    <xdr:colOff>0</xdr:colOff>
                    <xdr:row>78</xdr:row>
                    <xdr:rowOff>9525</xdr:rowOff>
                  </from>
                  <to>
                    <xdr:col>0</xdr:col>
                    <xdr:colOff>3514725</xdr:colOff>
                    <xdr:row>85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X90"/>
  <sheetViews>
    <sheetView showGridLines="0" tabSelected="1" topLeftCell="A58" zoomScale="90" zoomScaleNormal="90" zoomScalePageLayoutView="60" workbookViewId="0">
      <selection activeCell="B70" sqref="B70"/>
    </sheetView>
  </sheetViews>
  <sheetFormatPr baseColWidth="10" defaultColWidth="10.85546875" defaultRowHeight="14.25" x14ac:dyDescent="0.2"/>
  <cols>
    <col min="1" max="1" width="60.28515625" style="22" customWidth="1"/>
    <col min="2" max="2" width="25.140625" style="22" customWidth="1"/>
    <col min="3" max="3" width="7" style="22" customWidth="1"/>
    <col min="4" max="4" width="1.85546875" style="22" bestFit="1" customWidth="1"/>
    <col min="5" max="5" width="12.42578125" style="22" bestFit="1" customWidth="1"/>
    <col min="6" max="6" width="3.140625" style="22" bestFit="1" customWidth="1"/>
    <col min="7" max="7" width="11" style="22" customWidth="1"/>
    <col min="8" max="8" width="2.85546875" style="22" bestFit="1" customWidth="1"/>
    <col min="9" max="9" width="13.7109375" style="22" customWidth="1"/>
    <col min="10" max="10" width="2.42578125" style="22" bestFit="1" customWidth="1"/>
    <col min="11" max="11" width="16.140625" style="22" customWidth="1"/>
    <col min="12" max="12" width="3.42578125" style="22" bestFit="1" customWidth="1"/>
    <col min="13" max="13" width="32.42578125" style="22" customWidth="1"/>
    <col min="14" max="18" width="16.140625" style="22" hidden="1" customWidth="1"/>
    <col min="19" max="19" width="10.85546875" style="22"/>
    <col min="20" max="20" width="12.7109375" style="22" bestFit="1" customWidth="1"/>
    <col min="21" max="16384" width="10.85546875" style="22"/>
  </cols>
  <sheetData>
    <row r="1" spans="1:19" ht="14.25" customHeight="1" x14ac:dyDescent="0.2">
      <c r="K1" s="19"/>
      <c r="L1" s="19"/>
      <c r="M1" s="20"/>
    </row>
    <row r="2" spans="1:19" ht="20.25" customHeight="1" x14ac:dyDescent="0.2">
      <c r="F2" s="55"/>
      <c r="H2" s="26"/>
      <c r="I2" s="109"/>
      <c r="J2" s="109"/>
      <c r="N2" s="119"/>
      <c r="O2" s="119"/>
    </row>
    <row r="3" spans="1:19" ht="19.5" customHeight="1" x14ac:dyDescent="0.2">
      <c r="A3" s="111"/>
      <c r="B3" s="111"/>
      <c r="E3" s="21" t="s">
        <v>138</v>
      </c>
      <c r="F3" s="55"/>
      <c r="I3" s="66">
        <v>2</v>
      </c>
      <c r="K3" s="242" t="s">
        <v>62</v>
      </c>
      <c r="L3" s="242"/>
      <c r="M3" s="112"/>
      <c r="N3" s="118"/>
      <c r="O3" s="118"/>
      <c r="P3" s="25"/>
      <c r="Q3" s="25"/>
    </row>
    <row r="4" spans="1:19" ht="30" customHeight="1" x14ac:dyDescent="0.25">
      <c r="A4" s="111"/>
      <c r="B4" s="111"/>
      <c r="E4" s="21" t="s">
        <v>139</v>
      </c>
      <c r="F4" s="55"/>
      <c r="G4" s="65"/>
      <c r="H4" s="113"/>
      <c r="I4" s="152" t="s">
        <v>34</v>
      </c>
      <c r="J4" s="151"/>
      <c r="K4" s="241" t="s">
        <v>94</v>
      </c>
      <c r="L4" s="241"/>
      <c r="M4" s="121"/>
      <c r="N4" s="110"/>
      <c r="O4" s="110"/>
    </row>
    <row r="5" spans="1:19" ht="20.25" customHeight="1" x14ac:dyDescent="0.2">
      <c r="A5" s="240" t="s">
        <v>65</v>
      </c>
      <c r="B5" s="240"/>
      <c r="E5" s="26" t="s">
        <v>140</v>
      </c>
      <c r="F5" s="54"/>
      <c r="G5" s="243"/>
      <c r="H5" s="243"/>
      <c r="I5" s="243"/>
      <c r="J5" s="243"/>
      <c r="K5" s="243"/>
      <c r="L5" s="243"/>
      <c r="M5" s="243"/>
    </row>
    <row r="6" spans="1:19" ht="20.25" customHeight="1" x14ac:dyDescent="0.2">
      <c r="A6" s="240"/>
      <c r="B6" s="240"/>
      <c r="E6" s="26" t="s">
        <v>141</v>
      </c>
      <c r="F6" s="54"/>
      <c r="G6" s="243"/>
      <c r="H6" s="243"/>
      <c r="I6" s="243"/>
      <c r="J6" s="243"/>
      <c r="K6" s="243"/>
      <c r="L6" s="243"/>
      <c r="M6" s="243"/>
      <c r="R6" s="25"/>
      <c r="S6" s="25"/>
    </row>
    <row r="7" spans="1:19" ht="6.75" customHeight="1" x14ac:dyDescent="0.2">
      <c r="A7" s="240"/>
      <c r="B7" s="240"/>
      <c r="G7" s="20"/>
      <c r="H7" s="20"/>
      <c r="I7" s="18"/>
      <c r="J7" s="18"/>
      <c r="K7" s="18"/>
      <c r="L7" s="18"/>
      <c r="M7" s="18"/>
    </row>
    <row r="8" spans="1:19" ht="9" customHeight="1" x14ac:dyDescent="0.2">
      <c r="A8" s="29"/>
      <c r="B8" s="29"/>
      <c r="G8" s="20"/>
      <c r="H8" s="20"/>
      <c r="I8" s="18"/>
      <c r="J8" s="18"/>
      <c r="K8" s="18"/>
      <c r="L8" s="18"/>
      <c r="M8" s="18"/>
    </row>
    <row r="9" spans="1:19" ht="14.25" customHeight="1" x14ac:dyDescent="0.2">
      <c r="A9" s="307" t="s">
        <v>54</v>
      </c>
      <c r="B9" s="298" t="s">
        <v>64</v>
      </c>
      <c r="C9" s="256" t="s">
        <v>20</v>
      </c>
      <c r="D9" s="256"/>
      <c r="E9" s="256"/>
      <c r="F9" s="153"/>
      <c r="G9" s="256" t="s">
        <v>47</v>
      </c>
      <c r="H9" s="153"/>
      <c r="I9" s="255" t="s">
        <v>23</v>
      </c>
      <c r="J9" s="154"/>
      <c r="K9" s="255" t="s">
        <v>113</v>
      </c>
      <c r="L9" s="155"/>
      <c r="M9" s="255" t="s">
        <v>52</v>
      </c>
    </row>
    <row r="10" spans="1:19" ht="17.25" customHeight="1" x14ac:dyDescent="0.2">
      <c r="A10" s="307"/>
      <c r="B10" s="298"/>
      <c r="C10" s="256" t="s">
        <v>35</v>
      </c>
      <c r="D10" s="256"/>
      <c r="E10" s="153" t="s">
        <v>0</v>
      </c>
      <c r="F10" s="153"/>
      <c r="G10" s="256"/>
      <c r="H10" s="153"/>
      <c r="I10" s="255"/>
      <c r="J10" s="154"/>
      <c r="K10" s="255"/>
      <c r="L10" s="154"/>
      <c r="M10" s="255"/>
    </row>
    <row r="11" spans="1:19" s="23" customFormat="1" ht="15" x14ac:dyDescent="0.2">
      <c r="A11" s="156"/>
      <c r="B11" s="156"/>
      <c r="C11" s="258"/>
      <c r="D11" s="258"/>
      <c r="E11" s="157"/>
      <c r="F11" s="59" t="s">
        <v>51</v>
      </c>
      <c r="G11" s="34">
        <f>IF(OR(A11="",E11=""),0,(VLOOKUP(A11,Tarifs!A$37:J$77,IF(E11="Journée",2,IF(E11="Fin de Semaine",3,IF(E11="Semaine",4,IF(E11="Mois",5,"")))),FALSE)))</f>
        <v>0</v>
      </c>
      <c r="H11" s="34" t="s">
        <v>50</v>
      </c>
      <c r="I11" s="34">
        <f>C11*G11</f>
        <v>0</v>
      </c>
      <c r="J11" s="35" t="s">
        <v>49</v>
      </c>
      <c r="K11" s="34">
        <f>IF(Tarifs!D$81=6,IF(M$3=0,I11,IF(I11&gt;M$3,M$3,I11)),I11-M11)</f>
        <v>0</v>
      </c>
      <c r="L11" s="34" t="s">
        <v>50</v>
      </c>
      <c r="M11" s="42">
        <f>IF(Tarifs!D$81=6,I11-K11,IF(OR(A11="",E11=""),0,C11*(VLOOKUP(A11,Tarifs!A$37:J$77,IF(E11="Journée",6,IF(E11="Fin de Semaine",7,IF(E11="Semaine",8,IF(E11="Mois",9,"")))),FALSE))))</f>
        <v>0</v>
      </c>
    </row>
    <row r="12" spans="1:19" ht="15" x14ac:dyDescent="0.2">
      <c r="A12" s="158"/>
      <c r="B12" s="158"/>
      <c r="C12" s="257"/>
      <c r="D12" s="257"/>
      <c r="E12" s="159"/>
      <c r="F12" s="60" t="s">
        <v>51</v>
      </c>
      <c r="G12" s="36">
        <f>IF(OR(A12="",E12=""),0,(VLOOKUP(A12,Tarifs!A$37:J$77,IF(E12="Journée",2,IF(E12="Fin de Semaine",3,IF(E12="Semaine",4,IF(E12="Mois",5,"")))),FALSE)))</f>
        <v>0</v>
      </c>
      <c r="H12" s="36" t="s">
        <v>50</v>
      </c>
      <c r="I12" s="36">
        <f t="shared" ref="I12:I18" si="0">C12*G12</f>
        <v>0</v>
      </c>
      <c r="J12" s="37" t="s">
        <v>49</v>
      </c>
      <c r="K12" s="36">
        <f>IF(Tarifs!D$81=6,IF(M$3=0,I12,IF(I12+(SUM(K$11:K11))&gt;M$3,M$3-SUM(K$11:K11),I12)),I12-M12)</f>
        <v>0</v>
      </c>
      <c r="L12" s="36" t="s">
        <v>50</v>
      </c>
      <c r="M12" s="43">
        <f>IF(Tarifs!D$81=6,I12-K12,IF(OR(A12="",E12=""),0,C12*(VLOOKUP(A12,Tarifs!A$37:J$77,IF(E12="Journée",6,IF(E12="Fin de Semaine",7,IF(E12="Semaine",8,IF(E12="Mois",9,"")))),FALSE))))</f>
        <v>0</v>
      </c>
    </row>
    <row r="13" spans="1:19" ht="15" x14ac:dyDescent="0.2">
      <c r="A13" s="156"/>
      <c r="B13" s="156"/>
      <c r="C13" s="258"/>
      <c r="D13" s="258"/>
      <c r="E13" s="157"/>
      <c r="F13" s="59" t="s">
        <v>51</v>
      </c>
      <c r="G13" s="34">
        <f>IF(OR(A13="",E13=""),0,(VLOOKUP(A13,Tarifs!A$37:J$77,IF(E13="Journée",2,IF(E13="Fin de Semaine",3,IF(E13="Semaine",4,IF(E13="Mois",5,"")))),FALSE)))</f>
        <v>0</v>
      </c>
      <c r="H13" s="34" t="s">
        <v>50</v>
      </c>
      <c r="I13" s="34">
        <f t="shared" si="0"/>
        <v>0</v>
      </c>
      <c r="J13" s="35" t="s">
        <v>49</v>
      </c>
      <c r="K13" s="34">
        <f>IF(Tarifs!D$81=6,IF(M$3=0,I13,IF(I13+(SUM(K$11:K12))&gt;M$3,M$3-SUM(K$11:K12),I13)),I13-M13)</f>
        <v>0</v>
      </c>
      <c r="L13" s="34" t="s">
        <v>50</v>
      </c>
      <c r="M13" s="42">
        <f>IF(Tarifs!D$81=6,I13-K13,IF(OR(A13="",E13=""),0,C13*(VLOOKUP(A13,Tarifs!A$37:J$77,IF(E13="Journée",6,IF(E13="Fin de Semaine",7,IF(E13="Semaine",8,IF(E13="Mois",9,"")))),FALSE))))</f>
        <v>0</v>
      </c>
    </row>
    <row r="14" spans="1:19" ht="15" x14ac:dyDescent="0.2">
      <c r="A14" s="158"/>
      <c r="B14" s="158"/>
      <c r="C14" s="257"/>
      <c r="D14" s="257"/>
      <c r="E14" s="159"/>
      <c r="F14" s="60" t="s">
        <v>51</v>
      </c>
      <c r="G14" s="36">
        <f>IF(OR(A14="",E14=""),0,(VLOOKUP(A14,Tarifs!A$37:J$77,IF(E14="Journée",2,IF(E14="Fin de Semaine",3,IF(E14="Semaine",4,IF(E14="Mois",5,"")))),FALSE)))</f>
        <v>0</v>
      </c>
      <c r="H14" s="36" t="s">
        <v>50</v>
      </c>
      <c r="I14" s="36">
        <f t="shared" si="0"/>
        <v>0</v>
      </c>
      <c r="J14" s="37" t="s">
        <v>49</v>
      </c>
      <c r="K14" s="36">
        <f>IF(Tarifs!D$81=6,IF(M$3=0,I14,IF(I14+(SUM(K$11:K13))&gt;M$3,M$3-SUM(K$11:K13),I14)),I14-M14)</f>
        <v>0</v>
      </c>
      <c r="L14" s="36" t="s">
        <v>50</v>
      </c>
      <c r="M14" s="43">
        <f>IF(Tarifs!D$81=6,I14-K14,IF(OR(A14="",E14=""),0,C14*(VLOOKUP(A14,Tarifs!A$37:J$77,IF(E14="Journée",6,IF(E14="Fin de Semaine",7,IF(E14="Semaine",8,IF(E14="Mois",9,"")))),FALSE))))</f>
        <v>0</v>
      </c>
    </row>
    <row r="15" spans="1:19" ht="15" x14ac:dyDescent="0.2">
      <c r="A15" s="156"/>
      <c r="B15" s="156"/>
      <c r="C15" s="258"/>
      <c r="D15" s="258"/>
      <c r="E15" s="157"/>
      <c r="F15" s="59" t="s">
        <v>51</v>
      </c>
      <c r="G15" s="34">
        <f>IF(OR(A15="",E15=""),0,(VLOOKUP(A15,Tarifs!A$37:J$77,IF(E15="Journée",2,IF(E15="Fin de Semaine",3,IF(E15="Semaine",4,IF(E15="Mois",5,"")))),FALSE)))</f>
        <v>0</v>
      </c>
      <c r="H15" s="34" t="s">
        <v>50</v>
      </c>
      <c r="I15" s="34">
        <f t="shared" si="0"/>
        <v>0</v>
      </c>
      <c r="J15" s="35" t="s">
        <v>49</v>
      </c>
      <c r="K15" s="34">
        <f>IF(Tarifs!D$81=6,IF(M$3=0,I15,IF(I15+(SUM(K$11:K14))&gt;M$3,M$3-SUM(K$11:K14),I15)),I15-M15)</f>
        <v>0</v>
      </c>
      <c r="L15" s="34" t="s">
        <v>50</v>
      </c>
      <c r="M15" s="42">
        <f>IF(Tarifs!D$81=6,I15-K15,IF(OR(A15="",E15=""),0,C15*(VLOOKUP(A15,Tarifs!A$37:J$77,IF(E15="Journée",6,IF(E15="Fin de Semaine",7,IF(E15="Semaine",8,IF(E15="Mois",9,"")))),FALSE))))</f>
        <v>0</v>
      </c>
    </row>
    <row r="16" spans="1:19" ht="15" x14ac:dyDescent="0.2">
      <c r="A16" s="158"/>
      <c r="B16" s="158"/>
      <c r="C16" s="257"/>
      <c r="D16" s="257"/>
      <c r="E16" s="159"/>
      <c r="F16" s="60" t="s">
        <v>51</v>
      </c>
      <c r="G16" s="36">
        <f>IF(OR(A16="",E16=""),0,(VLOOKUP(A16,Tarifs!A$37:J$77,IF(E16="Journée",2,IF(E16="Fin de Semaine",3,IF(E16="Semaine",4,IF(E16="Mois",5,"")))),FALSE)))</f>
        <v>0</v>
      </c>
      <c r="H16" s="36" t="s">
        <v>50</v>
      </c>
      <c r="I16" s="36">
        <f t="shared" si="0"/>
        <v>0</v>
      </c>
      <c r="J16" s="37" t="s">
        <v>49</v>
      </c>
      <c r="K16" s="36">
        <f>IF(Tarifs!D$81=6,IF(M$3=0,I16,IF(I16+(SUM(K$11:K15))&gt;M$3,M$3-SUM(K$11:K15),I16)),I16-M16)</f>
        <v>0</v>
      </c>
      <c r="L16" s="36" t="s">
        <v>50</v>
      </c>
      <c r="M16" s="43">
        <f>IF(Tarifs!D$81=6,I16-K16,IF(OR(A16="",E16=""),0,C16*(VLOOKUP(A16,Tarifs!A$37:J$77,IF(E16="Journée",6,IF(E16="Fin de Semaine",7,IF(E16="Semaine",8,IF(E16="Mois",9,"")))),FALSE))))</f>
        <v>0</v>
      </c>
    </row>
    <row r="17" spans="1:18" ht="15" x14ac:dyDescent="0.2">
      <c r="A17" s="156"/>
      <c r="B17" s="156"/>
      <c r="C17" s="258"/>
      <c r="D17" s="258"/>
      <c r="E17" s="157"/>
      <c r="F17" s="59" t="s">
        <v>51</v>
      </c>
      <c r="G17" s="34">
        <f>IF(OR(A17="",E17=""),0,(VLOOKUP(A17,Tarifs!A$37:J$77,IF(E17="Journée",2,IF(E17="Fin de Semaine",3,IF(E17="Semaine",4,IF(E17="Mois",5,"")))),FALSE)))</f>
        <v>0</v>
      </c>
      <c r="H17" s="34" t="s">
        <v>50</v>
      </c>
      <c r="I17" s="34">
        <f t="shared" si="0"/>
        <v>0</v>
      </c>
      <c r="J17" s="35" t="s">
        <v>49</v>
      </c>
      <c r="K17" s="34">
        <f>IF(Tarifs!D$81=6,IF(M$3=0,I17,IF(I17+(SUM(K$11:K16))&gt;M$3,M$3-SUM(K$11:K16),I17)),I17-M17)</f>
        <v>0</v>
      </c>
      <c r="L17" s="34" t="s">
        <v>50</v>
      </c>
      <c r="M17" s="42">
        <f>IF(Tarifs!D$81=6,I17-K17,IF(OR(A17="",E17=""),0,C17*(VLOOKUP(A17,Tarifs!A$37:J$77,IF(E17="Journée",6,IF(E17="Fin de Semaine",7,IF(E17="Semaine",8,IF(E17="Mois",9,"")))),FALSE))))</f>
        <v>0</v>
      </c>
    </row>
    <row r="18" spans="1:18" ht="15.75" thickBot="1" x14ac:dyDescent="0.25">
      <c r="A18" s="160"/>
      <c r="B18" s="160"/>
      <c r="C18" s="308"/>
      <c r="D18" s="308"/>
      <c r="E18" s="161"/>
      <c r="F18" s="61" t="s">
        <v>51</v>
      </c>
      <c r="G18" s="39">
        <f>IF(OR(A18="",E18=""),0,(VLOOKUP(A18,Tarifs!A$37:J$77,IF(E18="Journée",2,IF(E18="Fin de Semaine",3,IF(E18="Semaine",4,IF(E18="Mois",5,"")))),FALSE)))</f>
        <v>0</v>
      </c>
      <c r="H18" s="39" t="s">
        <v>50</v>
      </c>
      <c r="I18" s="39">
        <f t="shared" si="0"/>
        <v>0</v>
      </c>
      <c r="J18" s="40" t="s">
        <v>49</v>
      </c>
      <c r="K18" s="39">
        <f>IF(Tarifs!D$81=6,IF(M$3=0,I18,IF(I18+(SUM(K$11:K17))&gt;M$3,M$3-SUM(K$11:K17),I18)),I18-M18)</f>
        <v>0</v>
      </c>
      <c r="L18" s="39" t="s">
        <v>50</v>
      </c>
      <c r="M18" s="44">
        <f>IF(Tarifs!D$81=6,I18-K18,IF(OR(A18="",E18=""),0,C18*(VLOOKUP(A18,Tarifs!A$37:J$77,IF(E18="Journée",6,IF(E18="Fin de Semaine",7,IF(E18="Semaine",8,IF(E18="Mois",9,"")))),FALSE))))</f>
        <v>0</v>
      </c>
    </row>
    <row r="19" spans="1:18" ht="16.5" thickTop="1" x14ac:dyDescent="0.3">
      <c r="A19" s="305" t="s">
        <v>53</v>
      </c>
      <c r="B19" s="305"/>
      <c r="C19" s="305"/>
      <c r="D19" s="305"/>
      <c r="E19" s="305"/>
      <c r="F19" s="305"/>
      <c r="G19" s="305"/>
      <c r="H19" s="306"/>
      <c r="I19" s="41">
        <f>SUM(I11:I18)</f>
        <v>0</v>
      </c>
      <c r="J19" s="41" t="s">
        <v>49</v>
      </c>
      <c r="K19" s="41">
        <f>SUM(K11:K18)</f>
        <v>0</v>
      </c>
      <c r="L19" s="33" t="s">
        <v>50</v>
      </c>
      <c r="M19" s="45">
        <f>SUM(M11:M18)</f>
        <v>0</v>
      </c>
    </row>
    <row r="20" spans="1:18" x14ac:dyDescent="0.2">
      <c r="A20" s="24"/>
      <c r="B20" s="24"/>
    </row>
    <row r="21" spans="1:18" ht="14.25" customHeight="1" x14ac:dyDescent="0.2">
      <c r="A21" s="222" t="s">
        <v>109</v>
      </c>
      <c r="B21" s="261" t="s">
        <v>64</v>
      </c>
      <c r="C21" s="299" t="s">
        <v>61</v>
      </c>
      <c r="D21" s="299"/>
      <c r="E21" s="259" t="s">
        <v>21</v>
      </c>
      <c r="F21" s="162"/>
      <c r="G21" s="259" t="s">
        <v>55</v>
      </c>
      <c r="H21" s="162"/>
      <c r="I21" s="259" t="s">
        <v>23</v>
      </c>
      <c r="J21" s="163"/>
      <c r="K21" s="259" t="s">
        <v>113</v>
      </c>
      <c r="L21" s="164"/>
      <c r="M21" s="259" t="s">
        <v>52</v>
      </c>
    </row>
    <row r="22" spans="1:18" x14ac:dyDescent="0.2">
      <c r="A22" s="165" t="s">
        <v>110</v>
      </c>
      <c r="B22" s="261"/>
      <c r="C22" s="299"/>
      <c r="D22" s="299"/>
      <c r="E22" s="259"/>
      <c r="F22" s="162"/>
      <c r="G22" s="260"/>
      <c r="H22" s="162"/>
      <c r="I22" s="259"/>
      <c r="J22" s="163"/>
      <c r="K22" s="259" t="s">
        <v>32</v>
      </c>
      <c r="L22" s="163"/>
      <c r="M22" s="259"/>
    </row>
    <row r="23" spans="1:18" ht="15" x14ac:dyDescent="0.2">
      <c r="A23" s="170"/>
      <c r="B23" s="171"/>
      <c r="C23" s="301" t="b">
        <v>0</v>
      </c>
      <c r="D23" s="302"/>
      <c r="E23" s="172"/>
      <c r="F23" s="59" t="s">
        <v>51</v>
      </c>
      <c r="G23" s="34">
        <f>IF(A23="",0,IF(C23=TRUE,VLOOKUP(A23,Tarifs!A$3:E$20,3,FALSE),VLOOKUP(A23,Tarifs!A$3:E$20,2,FALSE)))</f>
        <v>0</v>
      </c>
      <c r="H23" s="34" t="s">
        <v>50</v>
      </c>
      <c r="I23" s="34">
        <f>E23*G23</f>
        <v>0</v>
      </c>
      <c r="J23" s="35" t="s">
        <v>49</v>
      </c>
      <c r="K23" s="34">
        <f>IF(Tarifs!D$81=6,IF(M$3=0,I23,IF(I23+(SUM(K$19:K22))&gt;M$3,M$3-SUM(K$19:K22),I23)),I23-M23)</f>
        <v>0</v>
      </c>
      <c r="L23" s="34" t="s">
        <v>50</v>
      </c>
      <c r="M23" s="42">
        <f>IF(Tarifs!D$81=6,I23-K23,IF(A23="",0,IF(C23=TRUE,E23*VLOOKUP(A23,Tarifs!A$3:E$20,5,FALSE),E23*VLOOKUP(A23,Tarifs!A$3:E$20,4,FALSE))))</f>
        <v>0</v>
      </c>
    </row>
    <row r="24" spans="1:18" ht="15" x14ac:dyDescent="0.2">
      <c r="A24" s="167"/>
      <c r="B24" s="168"/>
      <c r="C24" s="303" t="b">
        <v>0</v>
      </c>
      <c r="D24" s="304"/>
      <c r="E24" s="169"/>
      <c r="F24" s="60" t="s">
        <v>51</v>
      </c>
      <c r="G24" s="36">
        <f>IF(A24="",0,IF(C24=TRUE,VLOOKUP(A24,Tarifs!A$3:E$20,3,FALSE),VLOOKUP(A24,Tarifs!A$3:E$20,2,FALSE)))</f>
        <v>0</v>
      </c>
      <c r="H24" s="36" t="s">
        <v>50</v>
      </c>
      <c r="I24" s="36">
        <f t="shared" ref="I24:I28" si="1">E24*G24</f>
        <v>0</v>
      </c>
      <c r="J24" s="37" t="s">
        <v>49</v>
      </c>
      <c r="K24" s="36">
        <f>IF(Tarifs!D$81=6,IF(M$3=0,I24,IF(I24+(SUM(K$19:K23))&gt;M$3,M$3-SUM(K$19:K23),I24)),I24-M24)</f>
        <v>0</v>
      </c>
      <c r="L24" s="36" t="s">
        <v>50</v>
      </c>
      <c r="M24" s="43">
        <f>IF(Tarifs!D$81=6,I24-K24,IF(A24="",0,IF(C24=TRUE,E24*VLOOKUP(A24,Tarifs!A$3:E$20,5,FALSE),E24*VLOOKUP(A24,Tarifs!A$3:E$20,4,FALSE))))</f>
        <v>0</v>
      </c>
    </row>
    <row r="25" spans="1:18" ht="15" x14ac:dyDescent="0.2">
      <c r="A25" s="170"/>
      <c r="B25" s="171"/>
      <c r="C25" s="301" t="b">
        <v>0</v>
      </c>
      <c r="D25" s="302"/>
      <c r="E25" s="172"/>
      <c r="F25" s="59" t="s">
        <v>51</v>
      </c>
      <c r="G25" s="34">
        <f>IF(A25="",0,IF(C25=TRUE,VLOOKUP(A25,Tarifs!A$3:E$20,3,FALSE),VLOOKUP(A25,Tarifs!A$3:E$20,2,FALSE)))</f>
        <v>0</v>
      </c>
      <c r="H25" s="34" t="s">
        <v>50</v>
      </c>
      <c r="I25" s="34">
        <f t="shared" si="1"/>
        <v>0</v>
      </c>
      <c r="J25" s="35" t="s">
        <v>49</v>
      </c>
      <c r="K25" s="34">
        <f>IF(Tarifs!D$81=6,IF(M$3=0,I25,IF(I25+(SUM(K$19:K24))&gt;M$3,M$3-SUM(K$19:K24),I25)),I25-M25)</f>
        <v>0</v>
      </c>
      <c r="L25" s="34" t="s">
        <v>50</v>
      </c>
      <c r="M25" s="42">
        <f>IF(Tarifs!D$81=6,I25-K25,IF(A25="",0,IF(C25=TRUE,E25*VLOOKUP(A25,Tarifs!A$3:E$20,5,FALSE),E25*VLOOKUP(A25,Tarifs!A$3:E$20,4,FALSE))))</f>
        <v>0</v>
      </c>
    </row>
    <row r="26" spans="1:18" ht="15" x14ac:dyDescent="0.2">
      <c r="A26" s="167"/>
      <c r="B26" s="168"/>
      <c r="C26" s="303" t="b">
        <v>0</v>
      </c>
      <c r="D26" s="304"/>
      <c r="E26" s="169"/>
      <c r="F26" s="60" t="s">
        <v>51</v>
      </c>
      <c r="G26" s="36">
        <f>IF(A26="",0,IF(C26=TRUE,VLOOKUP(A26,Tarifs!A$3:E$20,3,FALSE),VLOOKUP(A26,Tarifs!A$3:E$20,2,FALSE)))</f>
        <v>0</v>
      </c>
      <c r="H26" s="36" t="s">
        <v>50</v>
      </c>
      <c r="I26" s="36">
        <f t="shared" si="1"/>
        <v>0</v>
      </c>
      <c r="J26" s="37" t="s">
        <v>49</v>
      </c>
      <c r="K26" s="36">
        <f>IF(Tarifs!D$81=6,IF(M$3=0,I26,IF(I26+(SUM(K$19:K25))&gt;M$3,M$3-SUM(K$19:K25),I26)),I26-M26)</f>
        <v>0</v>
      </c>
      <c r="L26" s="36" t="s">
        <v>50</v>
      </c>
      <c r="M26" s="43">
        <f>IF(Tarifs!D$81=6,I26-K26,IF(A26="",0,IF(C26=TRUE,E26*VLOOKUP(A26,Tarifs!A$3:E$20,5,FALSE),E26*VLOOKUP(A26,Tarifs!A$3:E$20,4,FALSE))))</f>
        <v>0</v>
      </c>
    </row>
    <row r="27" spans="1:18" ht="15" x14ac:dyDescent="0.2">
      <c r="A27" s="170"/>
      <c r="B27" s="171"/>
      <c r="C27" s="301" t="b">
        <v>0</v>
      </c>
      <c r="D27" s="302"/>
      <c r="E27" s="172"/>
      <c r="F27" s="59" t="s">
        <v>51</v>
      </c>
      <c r="G27" s="34">
        <f>IF(A27="",0,IF(C27=TRUE,VLOOKUP(A27,Tarifs!A$3:E$20,3,FALSE),VLOOKUP(A27,Tarifs!A$3:E$20,2,FALSE)))</f>
        <v>0</v>
      </c>
      <c r="H27" s="34" t="s">
        <v>50</v>
      </c>
      <c r="I27" s="34">
        <f t="shared" si="1"/>
        <v>0</v>
      </c>
      <c r="J27" s="35" t="s">
        <v>49</v>
      </c>
      <c r="K27" s="34">
        <f>IF(Tarifs!D$81=6,IF(M$3=0,I27,IF(I27+(SUM(K$19:K26))&gt;M$3,M$3-SUM(K$19:K26),I27)),I27-M27)</f>
        <v>0</v>
      </c>
      <c r="L27" s="34" t="s">
        <v>50</v>
      </c>
      <c r="M27" s="42">
        <f>IF(Tarifs!D$81=6,I27-K27,IF(A27="",0,IF(C27=TRUE,E27*VLOOKUP(A27,Tarifs!A$3:E$20,5,FALSE),E27*VLOOKUP(A27,Tarifs!A$3:E$20,4,FALSE))))</f>
        <v>0</v>
      </c>
    </row>
    <row r="28" spans="1:18" ht="15" x14ac:dyDescent="0.2">
      <c r="A28" s="167"/>
      <c r="B28" s="168"/>
      <c r="C28" s="303" t="b">
        <v>0</v>
      </c>
      <c r="D28" s="304"/>
      <c r="E28" s="169"/>
      <c r="F28" s="60" t="s">
        <v>51</v>
      </c>
      <c r="G28" s="36">
        <f>IF(A28="",0,IF(C28=TRUE,VLOOKUP(A28,Tarifs!A$3:E$20,3,FALSE),VLOOKUP(A28,Tarifs!A$3:E$20,2,FALSE)))</f>
        <v>0</v>
      </c>
      <c r="H28" s="36" t="s">
        <v>50</v>
      </c>
      <c r="I28" s="36">
        <f t="shared" si="1"/>
        <v>0</v>
      </c>
      <c r="J28" s="37" t="s">
        <v>49</v>
      </c>
      <c r="K28" s="36">
        <f>IF(Tarifs!D$81=6,IF(M$3=0,I28,IF(I28+(SUM(K$19:K27))&gt;M$3,M$3-SUM(K$19:K27),I28)),I28-M28)</f>
        <v>0</v>
      </c>
      <c r="L28" s="36" t="s">
        <v>50</v>
      </c>
      <c r="M28" s="43">
        <f>IF(Tarifs!D$81=6,I28-K28,IF(A28="",0,IF(C28=TRUE,E28*VLOOKUP(A28,Tarifs!A$3:E$20,5,FALSE),E28*VLOOKUP(A28,Tarifs!A$3:E$20,4,FALSE))))</f>
        <v>0</v>
      </c>
    </row>
    <row r="29" spans="1:18" ht="25.5" customHeight="1" collapsed="1" x14ac:dyDescent="0.2">
      <c r="A29" s="166" t="s">
        <v>111</v>
      </c>
      <c r="B29" s="166" t="s">
        <v>64</v>
      </c>
      <c r="C29" s="166"/>
      <c r="D29" s="166"/>
      <c r="E29" s="166" t="s">
        <v>21</v>
      </c>
      <c r="F29" s="166"/>
      <c r="G29" s="166" t="s">
        <v>55</v>
      </c>
      <c r="H29" s="166"/>
      <c r="I29" s="166" t="s">
        <v>23</v>
      </c>
      <c r="J29" s="166"/>
      <c r="K29" s="166" t="s">
        <v>113</v>
      </c>
      <c r="L29" s="166"/>
      <c r="M29" s="163" t="s">
        <v>52</v>
      </c>
      <c r="N29" s="140" t="s">
        <v>111</v>
      </c>
      <c r="O29" s="140" t="s">
        <v>111</v>
      </c>
      <c r="P29" s="140" t="s">
        <v>111</v>
      </c>
      <c r="Q29" s="140" t="s">
        <v>111</v>
      </c>
      <c r="R29" s="140" t="s">
        <v>111</v>
      </c>
    </row>
    <row r="30" spans="1:18" ht="15" x14ac:dyDescent="0.2">
      <c r="A30" s="167"/>
      <c r="B30" s="265"/>
      <c r="C30" s="266"/>
      <c r="D30" s="267"/>
      <c r="E30" s="169"/>
      <c r="F30" s="60" t="s">
        <v>51</v>
      </c>
      <c r="G30" s="36">
        <f>IF(A30="",0,VLOOKUP(A30,Tarifs!A$30:B$34,2,FALSE))</f>
        <v>0</v>
      </c>
      <c r="H30" s="36" t="s">
        <v>50</v>
      </c>
      <c r="I30" s="36">
        <f>E30*G30</f>
        <v>0</v>
      </c>
      <c r="J30" s="37" t="s">
        <v>49</v>
      </c>
      <c r="K30" s="36">
        <f>IF(OR(I30=0,$M$4=0),0,IF(Tarifs!D$81=6,IF(M$4&gt;I30,I30,M$4),0))</f>
        <v>0</v>
      </c>
      <c r="L30" s="36" t="s">
        <v>50</v>
      </c>
      <c r="M30" s="43">
        <f>I30-K30</f>
        <v>0</v>
      </c>
    </row>
    <row r="31" spans="1:18" ht="15" x14ac:dyDescent="0.2">
      <c r="A31" s="170"/>
      <c r="B31" s="262"/>
      <c r="C31" s="263"/>
      <c r="D31" s="264"/>
      <c r="E31" s="172"/>
      <c r="F31" s="59" t="s">
        <v>51</v>
      </c>
      <c r="G31" s="34">
        <f>IF(A31="",0,VLOOKUP(A31,Tarifs!A$30:B$34,2,FALSE))</f>
        <v>0</v>
      </c>
      <c r="H31" s="34" t="s">
        <v>50</v>
      </c>
      <c r="I31" s="34">
        <f>E31*G31</f>
        <v>0</v>
      </c>
      <c r="J31" s="35" t="s">
        <v>49</v>
      </c>
      <c r="K31" s="34">
        <f>IF(OR(I31=0,$M$4=0),0,IF(Tarifs!D$81=6,IF(M$4-K30&gt;I31,I31,M$4-K30),0))</f>
        <v>0</v>
      </c>
      <c r="L31" s="34" t="s">
        <v>50</v>
      </c>
      <c r="M31" s="42">
        <f>I31-K31</f>
        <v>0</v>
      </c>
    </row>
    <row r="32" spans="1:18" ht="15" x14ac:dyDescent="0.2">
      <c r="A32" s="167"/>
      <c r="B32" s="265"/>
      <c r="C32" s="266"/>
      <c r="D32" s="267"/>
      <c r="E32" s="169"/>
      <c r="F32" s="60" t="s">
        <v>51</v>
      </c>
      <c r="G32" s="36">
        <f>IF(A32="",0,VLOOKUP(A32,Tarifs!A$30:B$34,2,FALSE))</f>
        <v>0</v>
      </c>
      <c r="H32" s="36" t="s">
        <v>50</v>
      </c>
      <c r="I32" s="36">
        <f t="shared" ref="I32:I33" si="2">E32*G32</f>
        <v>0</v>
      </c>
      <c r="J32" s="37" t="s">
        <v>49</v>
      </c>
      <c r="K32" s="36">
        <f>IF(OR(I32=0,$M$4=0),0,IF(Tarifs!D$81=6,IF(M$4-SUM(K30:K31)&gt;I32,I32,M$4-SUM(K30:K31)),0))</f>
        <v>0</v>
      </c>
      <c r="L32" s="36" t="s">
        <v>50</v>
      </c>
      <c r="M32" s="43">
        <f>I32-K32</f>
        <v>0</v>
      </c>
    </row>
    <row r="33" spans="1:20" ht="15.75" thickBot="1" x14ac:dyDescent="0.25">
      <c r="A33" s="173"/>
      <c r="B33" s="309"/>
      <c r="C33" s="310"/>
      <c r="D33" s="311"/>
      <c r="E33" s="174"/>
      <c r="F33" s="143" t="s">
        <v>51</v>
      </c>
      <c r="G33" s="46">
        <f>IF(A33="",0,VLOOKUP(A33,Tarifs!A$30:B$34,2,FALSE))</f>
        <v>0</v>
      </c>
      <c r="H33" s="46" t="s">
        <v>50</v>
      </c>
      <c r="I33" s="46">
        <f t="shared" si="2"/>
        <v>0</v>
      </c>
      <c r="J33" s="47" t="s">
        <v>49</v>
      </c>
      <c r="K33" s="46">
        <f>IF(OR(I33=0,$M$4=0),0,IF(Tarifs!D$81=6,IF(M$4-SUM(K$30:K32)&gt;I33,I33,M$4-SUM(K$30:K32)),0))</f>
        <v>0</v>
      </c>
      <c r="L33" s="46" t="s">
        <v>50</v>
      </c>
      <c r="M33" s="142">
        <f>I33-K33</f>
        <v>0</v>
      </c>
    </row>
    <row r="34" spans="1:20" ht="18.75" customHeight="1" thickTop="1" x14ac:dyDescent="0.3">
      <c r="A34" s="319" t="s">
        <v>112</v>
      </c>
      <c r="B34" s="319"/>
      <c r="C34" s="319"/>
      <c r="D34" s="319"/>
      <c r="E34" s="319"/>
      <c r="F34" s="319"/>
      <c r="G34" s="319"/>
      <c r="H34" s="320"/>
      <c r="I34" s="41">
        <f>SUM(I23:I33)</f>
        <v>0</v>
      </c>
      <c r="J34" s="41" t="s">
        <v>49</v>
      </c>
      <c r="K34" s="33">
        <f>SUM(K23:K33)</f>
        <v>0</v>
      </c>
      <c r="L34" s="33" t="s">
        <v>50</v>
      </c>
      <c r="M34" s="45">
        <f>SUM(M23:R33)</f>
        <v>0</v>
      </c>
    </row>
    <row r="35" spans="1:20" x14ac:dyDescent="0.2">
      <c r="A35" s="49"/>
      <c r="B35" s="49"/>
    </row>
    <row r="36" spans="1:20" ht="14.25" customHeight="1" x14ac:dyDescent="0.2">
      <c r="A36" s="221" t="s">
        <v>114</v>
      </c>
      <c r="B36" s="312" t="s">
        <v>64</v>
      </c>
      <c r="C36" s="313" t="s">
        <v>61</v>
      </c>
      <c r="D36" s="313"/>
      <c r="E36" s="278" t="s">
        <v>21</v>
      </c>
      <c r="F36" s="175"/>
      <c r="G36" s="278" t="s">
        <v>55</v>
      </c>
      <c r="H36" s="175"/>
      <c r="I36" s="278" t="s">
        <v>23</v>
      </c>
      <c r="J36" s="176"/>
      <c r="K36" s="278" t="s">
        <v>113</v>
      </c>
      <c r="L36" s="177"/>
      <c r="M36" s="278" t="s">
        <v>52</v>
      </c>
    </row>
    <row r="37" spans="1:20" x14ac:dyDescent="0.2">
      <c r="A37" s="178" t="s">
        <v>110</v>
      </c>
      <c r="B37" s="312"/>
      <c r="C37" s="313"/>
      <c r="D37" s="313"/>
      <c r="E37" s="278"/>
      <c r="F37" s="175"/>
      <c r="G37" s="279"/>
      <c r="H37" s="175"/>
      <c r="I37" s="278"/>
      <c r="J37" s="176"/>
      <c r="K37" s="278" t="s">
        <v>32</v>
      </c>
      <c r="L37" s="176"/>
      <c r="M37" s="278"/>
    </row>
    <row r="38" spans="1:20" ht="15" x14ac:dyDescent="0.2">
      <c r="A38" s="223"/>
      <c r="B38" s="224"/>
      <c r="C38" s="294" t="b">
        <v>0</v>
      </c>
      <c r="D38" s="295"/>
      <c r="E38" s="225"/>
      <c r="F38" s="59" t="s">
        <v>51</v>
      </c>
      <c r="G38" s="34">
        <f>IF(A38="",0,IF(C38=TRUE,VLOOKUP(A38,Tarifs!A$3:E$20,3,FALSE),VLOOKUP(A38,Tarifs!A$3:E$20,2,FALSE)))</f>
        <v>0</v>
      </c>
      <c r="H38" s="34" t="s">
        <v>50</v>
      </c>
      <c r="I38" s="34">
        <f>E38*G38</f>
        <v>0</v>
      </c>
      <c r="J38" s="35" t="s">
        <v>49</v>
      </c>
      <c r="K38" s="34">
        <f>IF(Tarifs!D$81=6,IF(M$3=0,I38,IF(I38+(SUM(K$19:K28))&gt;M$3,M$3-SUM(K$19:K28),I38)),I38-M38)</f>
        <v>0</v>
      </c>
      <c r="L38" s="34" t="s">
        <v>50</v>
      </c>
      <c r="M38" s="42">
        <f>IF(Tarifs!D$81=6,I38-K38,IF(A38="",0,IF(C38=TRUE,E38*VLOOKUP(A38,Tarifs!A$3:E$20,5,FALSE),E38*VLOOKUP(A38,Tarifs!A$3:E$20,4,FALSE))))</f>
        <v>0</v>
      </c>
    </row>
    <row r="39" spans="1:20" ht="15" x14ac:dyDescent="0.2">
      <c r="A39" s="123"/>
      <c r="B39" s="141"/>
      <c r="C39" s="314" t="b">
        <v>0</v>
      </c>
      <c r="D39" s="315"/>
      <c r="E39" s="63"/>
      <c r="F39" s="60" t="s">
        <v>51</v>
      </c>
      <c r="G39" s="36">
        <f>IF(A39="",0,IF(C39=TRUE,VLOOKUP(A39,Tarifs!A$3:E$20,3,FALSE),VLOOKUP(A39,Tarifs!A$3:E$20,2,FALSE)))</f>
        <v>0</v>
      </c>
      <c r="H39" s="36" t="s">
        <v>50</v>
      </c>
      <c r="I39" s="36">
        <f t="shared" ref="I39:I41" si="3">E39*G39</f>
        <v>0</v>
      </c>
      <c r="J39" s="37" t="s">
        <v>49</v>
      </c>
      <c r="K39" s="36">
        <f>IF(Tarifs!D$81=6,IF(M$3=0,I39,IF(I39+(SUM(K$19:K28)+K38)&gt;M$3,M$3-SUM(K$19:K28)-K38,I39)),I39-M39)</f>
        <v>0</v>
      </c>
      <c r="L39" s="36" t="s">
        <v>50</v>
      </c>
      <c r="M39" s="43">
        <f>IF(Tarifs!D$81=6,I39-K39,IF(A39="",0,IF(C39=TRUE,E39*VLOOKUP(A39,Tarifs!A$3:E$20,5,FALSE),E39*VLOOKUP(A39,Tarifs!A$3:E$20,4,FALSE))))</f>
        <v>0</v>
      </c>
    </row>
    <row r="40" spans="1:20" ht="15" x14ac:dyDescent="0.2">
      <c r="A40" s="223"/>
      <c r="B40" s="224"/>
      <c r="C40" s="294" t="b">
        <v>0</v>
      </c>
      <c r="D40" s="295"/>
      <c r="E40" s="225"/>
      <c r="F40" s="59" t="s">
        <v>51</v>
      </c>
      <c r="G40" s="34">
        <f>IF(A40="",0,IF(C40=TRUE,VLOOKUP(A40,Tarifs!A$3:E$20,3,FALSE),VLOOKUP(A40,Tarifs!A$3:E$20,2,FALSE)))</f>
        <v>0</v>
      </c>
      <c r="H40" s="34" t="s">
        <v>50</v>
      </c>
      <c r="I40" s="34">
        <f t="shared" si="3"/>
        <v>0</v>
      </c>
      <c r="J40" s="35" t="s">
        <v>49</v>
      </c>
      <c r="K40" s="34">
        <f>IF(Tarifs!D$81=6,IF(M$3=0,I40,IF(I40+(SUM(K$19:K28)+SUM(K38:K39))&gt;M$3,M$3-SUM(K$19:K28)-SUM(K38:K39),I40)),I40-M40)</f>
        <v>0</v>
      </c>
      <c r="L40" s="34" t="s">
        <v>50</v>
      </c>
      <c r="M40" s="42">
        <f>IF(Tarifs!D$81=6,I40-K40,IF(A40="",0,IF(C40=TRUE,E40*VLOOKUP(A40,Tarifs!A$3:E$20,5,FALSE),E40*VLOOKUP(A40,Tarifs!A$3:E$20,4,FALSE))))</f>
        <v>0</v>
      </c>
    </row>
    <row r="41" spans="1:20" ht="15" x14ac:dyDescent="0.2">
      <c r="A41" s="123"/>
      <c r="B41" s="141"/>
      <c r="C41" s="314" t="b">
        <v>0</v>
      </c>
      <c r="D41" s="315"/>
      <c r="E41" s="63"/>
      <c r="F41" s="60" t="s">
        <v>51</v>
      </c>
      <c r="G41" s="36">
        <f>IF(A41="",0,IF(C41=TRUE,VLOOKUP(A41,Tarifs!A$3:E$20,3,FALSE),VLOOKUP(A41,Tarifs!A$3:E$20,2,FALSE)))</f>
        <v>0</v>
      </c>
      <c r="H41" s="36" t="s">
        <v>50</v>
      </c>
      <c r="I41" s="36">
        <f t="shared" si="3"/>
        <v>0</v>
      </c>
      <c r="J41" s="37" t="s">
        <v>49</v>
      </c>
      <c r="K41" s="36">
        <f>IF(Tarifs!D$81=6,IF(M$3=0,I41,IF(I41+(SUM(K$19:K28)+SUM(K38:K40))&gt;M$3,M$3-SUM(K$19:K28)-SUM(K38:K40),I41)),I41-M41)</f>
        <v>0</v>
      </c>
      <c r="L41" s="36" t="s">
        <v>50</v>
      </c>
      <c r="M41" s="43">
        <f>IF(Tarifs!D$81=6,I41-K41,IF(A41="",0,IF(C41=TRUE,E41*VLOOKUP(A41,Tarifs!A$3:E$20,5,FALSE),E41*VLOOKUP(A41,Tarifs!A$3:E$20,4,FALSE))))</f>
        <v>0</v>
      </c>
    </row>
    <row r="42" spans="1:20" ht="25.5" customHeight="1" collapsed="1" x14ac:dyDescent="0.2">
      <c r="A42" s="179" t="s">
        <v>111</v>
      </c>
      <c r="B42" s="179" t="s">
        <v>64</v>
      </c>
      <c r="C42" s="179"/>
      <c r="D42" s="179"/>
      <c r="E42" s="179" t="s">
        <v>21</v>
      </c>
      <c r="F42" s="179"/>
      <c r="G42" s="179" t="s">
        <v>55</v>
      </c>
      <c r="H42" s="179"/>
      <c r="I42" s="179" t="s">
        <v>23</v>
      </c>
      <c r="J42" s="179"/>
      <c r="K42" s="179" t="s">
        <v>113</v>
      </c>
      <c r="L42" s="179"/>
      <c r="M42" s="176" t="s">
        <v>52</v>
      </c>
      <c r="N42" s="140" t="s">
        <v>111</v>
      </c>
      <c r="O42" s="140" t="s">
        <v>111</v>
      </c>
      <c r="P42" s="140" t="s">
        <v>111</v>
      </c>
      <c r="Q42" s="140" t="s">
        <v>111</v>
      </c>
      <c r="R42" s="140" t="s">
        <v>111</v>
      </c>
    </row>
    <row r="43" spans="1:20" ht="15" x14ac:dyDescent="0.2">
      <c r="A43" s="123"/>
      <c r="B43" s="316"/>
      <c r="C43" s="317"/>
      <c r="D43" s="318"/>
      <c r="E43" s="63"/>
      <c r="F43" s="60" t="s">
        <v>51</v>
      </c>
      <c r="G43" s="36">
        <f>IF(A43="",0,VLOOKUP(A43,Tarifs!A$30:B$34,2,FALSE))</f>
        <v>0</v>
      </c>
      <c r="H43" s="36" t="s">
        <v>50</v>
      </c>
      <c r="I43" s="36">
        <f>E43*G43</f>
        <v>0</v>
      </c>
      <c r="J43" s="37" t="s">
        <v>49</v>
      </c>
      <c r="K43" s="36">
        <f>IF(OR(I43=0,$M$4=0),0,IF(Tarifs!D$81=6,IF(M$4&gt;=(I43+SUM(K$30:K$33)),I43,M$4-SUM(K$30:K$33)),0))</f>
        <v>0</v>
      </c>
      <c r="L43" s="36" t="s">
        <v>50</v>
      </c>
      <c r="M43" s="43">
        <f>I43-K43</f>
        <v>0</v>
      </c>
      <c r="T43" s="110"/>
    </row>
    <row r="44" spans="1:20" ht="15" x14ac:dyDescent="0.2">
      <c r="A44" s="122"/>
      <c r="B44" s="328"/>
      <c r="C44" s="329"/>
      <c r="D44" s="330"/>
      <c r="E44" s="62"/>
      <c r="F44" s="59" t="s">
        <v>51</v>
      </c>
      <c r="G44" s="34">
        <f>IF(A44="",0,VLOOKUP(A44,Tarifs!A$30:B$34,2,FALSE))</f>
        <v>0</v>
      </c>
      <c r="H44" s="34" t="s">
        <v>50</v>
      </c>
      <c r="I44" s="34">
        <f>E44*G44</f>
        <v>0</v>
      </c>
      <c r="J44" s="35" t="s">
        <v>49</v>
      </c>
      <c r="K44" s="34">
        <f>IF(OR(I44=0,$M$4=0),0,IF(Tarifs!D$81=6,IF(M$4-K43-SUM(K$30:K$33)&gt;I44,I44,M$4-K43-SUM(K$30:K$33)),0))</f>
        <v>0</v>
      </c>
      <c r="L44" s="34" t="s">
        <v>50</v>
      </c>
      <c r="M44" s="42">
        <f>I44-K44</f>
        <v>0</v>
      </c>
    </row>
    <row r="45" spans="1:20" ht="15.75" thickBot="1" x14ac:dyDescent="0.25">
      <c r="A45" s="124"/>
      <c r="B45" s="331"/>
      <c r="C45" s="332"/>
      <c r="D45" s="333"/>
      <c r="E45" s="64"/>
      <c r="F45" s="61" t="s">
        <v>51</v>
      </c>
      <c r="G45" s="39">
        <f>IF(A45="",0,VLOOKUP(A45,Tarifs!A$30:B$34,2,FALSE))</f>
        <v>0</v>
      </c>
      <c r="H45" s="39" t="s">
        <v>50</v>
      </c>
      <c r="I45" s="39">
        <f t="shared" ref="I45" si="4">E45*G45</f>
        <v>0</v>
      </c>
      <c r="J45" s="40" t="s">
        <v>49</v>
      </c>
      <c r="K45" s="39">
        <f>IF(OR(I45=0,$M$4=0),0,IF(Tarifs!D$81=6,IF(M$4-SUM(K43:K44)-SUM(K$30:K$33)&gt;I45,I45,M$4-SUM(K43:K44)-SUM(K$30:K$33)),0))</f>
        <v>0</v>
      </c>
      <c r="L45" s="39" t="s">
        <v>50</v>
      </c>
      <c r="M45" s="44">
        <f>I45-K45</f>
        <v>0</v>
      </c>
    </row>
    <row r="46" spans="1:20" ht="18.75" customHeight="1" thickTop="1" x14ac:dyDescent="0.3">
      <c r="A46" s="334" t="s">
        <v>115</v>
      </c>
      <c r="B46" s="334"/>
      <c r="C46" s="334"/>
      <c r="D46" s="334"/>
      <c r="E46" s="334"/>
      <c r="F46" s="334"/>
      <c r="G46" s="334"/>
      <c r="H46" s="335"/>
      <c r="I46" s="41">
        <f>SUM(I38:I45)</f>
        <v>0</v>
      </c>
      <c r="J46" s="41" t="s">
        <v>49</v>
      </c>
      <c r="K46" s="41">
        <f>SUM(K38:K45)</f>
        <v>0</v>
      </c>
      <c r="L46" s="33" t="s">
        <v>50</v>
      </c>
      <c r="M46" s="45">
        <f>SUM(M38:R45)</f>
        <v>0</v>
      </c>
    </row>
    <row r="47" spans="1:20" x14ac:dyDescent="0.2">
      <c r="A47" s="24"/>
      <c r="B47" s="24"/>
    </row>
    <row r="48" spans="1:20" ht="14.25" customHeight="1" x14ac:dyDescent="0.2">
      <c r="A48" s="336" t="s">
        <v>133</v>
      </c>
      <c r="B48" s="321" t="s">
        <v>64</v>
      </c>
      <c r="C48" s="321"/>
      <c r="D48" s="321"/>
      <c r="E48" s="248" t="s">
        <v>21</v>
      </c>
      <c r="F48" s="180"/>
      <c r="G48" s="248" t="s">
        <v>55</v>
      </c>
      <c r="H48" s="180"/>
      <c r="I48" s="248" t="s">
        <v>23</v>
      </c>
      <c r="J48" s="181"/>
      <c r="K48" s="248" t="s">
        <v>113</v>
      </c>
      <c r="L48" s="182"/>
      <c r="M48" s="248" t="s">
        <v>52</v>
      </c>
    </row>
    <row r="49" spans="1:24" x14ac:dyDescent="0.2">
      <c r="A49" s="336"/>
      <c r="B49" s="321"/>
      <c r="C49" s="321"/>
      <c r="D49" s="321"/>
      <c r="E49" s="248"/>
      <c r="F49" s="180"/>
      <c r="G49" s="254"/>
      <c r="H49" s="180"/>
      <c r="I49" s="248"/>
      <c r="J49" s="181"/>
      <c r="K49" s="248" t="s">
        <v>32</v>
      </c>
      <c r="L49" s="181"/>
      <c r="M49" s="248"/>
      <c r="P49" s="110"/>
    </row>
    <row r="50" spans="1:24" ht="15" x14ac:dyDescent="0.2">
      <c r="A50" s="191" t="s">
        <v>132</v>
      </c>
      <c r="B50" s="249"/>
      <c r="C50" s="250"/>
      <c r="D50" s="251"/>
      <c r="E50" s="192"/>
      <c r="F50" s="59" t="s">
        <v>51</v>
      </c>
      <c r="G50" s="34">
        <v>50</v>
      </c>
      <c r="H50" s="34" t="s">
        <v>50</v>
      </c>
      <c r="I50" s="34">
        <f>E50*G50</f>
        <v>0</v>
      </c>
      <c r="J50" s="35" t="s">
        <v>49</v>
      </c>
      <c r="K50" s="34">
        <f>IF(Tarifs!D$81=6,IF(M$3=0,I50,IF(I50+(SUM(K$19:K28))+SUM(K38:K41)&gt;M$3,M$3-SUM(K$19:K28)-SUM(K38:K41),I50)),I50-M50)</f>
        <v>0</v>
      </c>
      <c r="L50" s="34" t="s">
        <v>50</v>
      </c>
      <c r="M50" s="42">
        <f>IF(Tarifs!D$81=6,I50-K50,IF(A50="",0,IF(C50=TRUE,E50*VLOOKUP(A50,Tarifs!A$3:E$20,5,FALSE),E50*VLOOKUP(A50,Tarifs!A$3:E$20,4,FALSE))))</f>
        <v>0</v>
      </c>
    </row>
    <row r="51" spans="1:24" ht="15" x14ac:dyDescent="0.2">
      <c r="A51" s="188" t="s">
        <v>157</v>
      </c>
      <c r="B51" s="274"/>
      <c r="C51" s="275" t="b">
        <v>0</v>
      </c>
      <c r="D51" s="276"/>
      <c r="E51" s="189"/>
      <c r="F51" s="60" t="s">
        <v>51</v>
      </c>
      <c r="G51" s="36">
        <v>25</v>
      </c>
      <c r="H51" s="36" t="s">
        <v>50</v>
      </c>
      <c r="I51" s="36">
        <f t="shared" ref="I51" si="5">E51*G51</f>
        <v>0</v>
      </c>
      <c r="J51" s="37" t="s">
        <v>49</v>
      </c>
      <c r="K51" s="36">
        <f>IF(OR(I51=0,$M$4=0),0,IF(Tarifs!D$81=6,IF(M$4&gt;=(I51+SUM(K$30:K$33)+SUM(K43:K45)),I51,M$4-SUM(K$30:K$33)-SUM(K43:K45)),0))</f>
        <v>0</v>
      </c>
      <c r="L51" s="36" t="s">
        <v>50</v>
      </c>
      <c r="M51" s="43">
        <f>I51-K51</f>
        <v>0</v>
      </c>
    </row>
    <row r="52" spans="1:24" x14ac:dyDescent="0.2">
      <c r="A52" s="336" t="s">
        <v>161</v>
      </c>
      <c r="B52" s="321" t="s">
        <v>64</v>
      </c>
      <c r="C52" s="321"/>
      <c r="D52" s="321"/>
      <c r="E52" s="248" t="s">
        <v>39</v>
      </c>
      <c r="F52" s="233"/>
      <c r="G52" s="248" t="s">
        <v>55</v>
      </c>
      <c r="H52" s="233"/>
      <c r="I52" s="248" t="s">
        <v>23</v>
      </c>
      <c r="J52" s="232"/>
      <c r="K52" s="248" t="s">
        <v>113</v>
      </c>
      <c r="L52" s="182"/>
      <c r="M52" s="248" t="s">
        <v>52</v>
      </c>
    </row>
    <row r="53" spans="1:24" x14ac:dyDescent="0.2">
      <c r="A53" s="336"/>
      <c r="B53" s="321"/>
      <c r="C53" s="321"/>
      <c r="D53" s="321"/>
      <c r="E53" s="248"/>
      <c r="F53" s="233"/>
      <c r="G53" s="254"/>
      <c r="H53" s="233"/>
      <c r="I53" s="248"/>
      <c r="J53" s="232"/>
      <c r="K53" s="248" t="s">
        <v>32</v>
      </c>
      <c r="L53" s="232"/>
      <c r="M53" s="248"/>
    </row>
    <row r="54" spans="1:24" ht="15" x14ac:dyDescent="0.2">
      <c r="A54" s="191" t="s">
        <v>165</v>
      </c>
      <c r="B54" s="249"/>
      <c r="C54" s="250"/>
      <c r="D54" s="251"/>
      <c r="E54" s="192"/>
      <c r="F54" s="59" t="s">
        <v>51</v>
      </c>
      <c r="G54" s="34">
        <f>IF(A54="",0,VLOOKUP(A54,Tarifs!A$22:B$23,2,FALSE))</f>
        <v>150</v>
      </c>
      <c r="H54" s="34" t="s">
        <v>50</v>
      </c>
      <c r="I54" s="34">
        <f>E54*G54</f>
        <v>0</v>
      </c>
      <c r="J54" s="35" t="s">
        <v>49</v>
      </c>
      <c r="K54" s="34">
        <f>IF(Tarifs!D$81=6,IF(M$3=0,I54,IF(I54+(SUM(K$19:K28))+SUM(K38:K41)&gt;M$3,M$3-SUM(K$19:K28)-SUM(K38:K41),I54)),I54-M54)</f>
        <v>0</v>
      </c>
      <c r="L54" s="34" t="s">
        <v>50</v>
      </c>
      <c r="M54" s="42">
        <f>IF(Tarifs!D$81=6,I54-K54,IF(A54="",0,E54*VLOOKUP(A54,Tarifs!A$22:E$23,4,FALSE)))</f>
        <v>0</v>
      </c>
    </row>
    <row r="55" spans="1:24" ht="15" x14ac:dyDescent="0.2">
      <c r="A55" s="188" t="s">
        <v>166</v>
      </c>
      <c r="B55" s="274"/>
      <c r="C55" s="275" t="b">
        <v>0</v>
      </c>
      <c r="D55" s="276"/>
      <c r="E55" s="189"/>
      <c r="F55" s="60" t="s">
        <v>51</v>
      </c>
      <c r="G55" s="36">
        <f>IF(A55="",0,VLOOKUP(A55,Tarifs!A$22:B$23,2,FALSE))</f>
        <v>300</v>
      </c>
      <c r="H55" s="36" t="s">
        <v>50</v>
      </c>
      <c r="I55" s="36">
        <f>E55*G55</f>
        <v>0</v>
      </c>
      <c r="J55" s="37" t="s">
        <v>49</v>
      </c>
      <c r="K55" s="36">
        <f>IF(Tarifs!D$81=6,IF(M$3=0,I55,IF(I55+(SUM(K$19:K29))+SUM(K39:K42)&gt;M$3,M$3-SUM(K$19:K29)-SUM(K39:K42),I55)),I55-M55)</f>
        <v>0</v>
      </c>
      <c r="L55" s="36" t="s">
        <v>50</v>
      </c>
      <c r="M55" s="43">
        <f>IF(Tarifs!D$81=6,I55-K55,IF(A55="",0,E55*VLOOKUP(A55,Tarifs!A$22:E$23,4,FALSE)))</f>
        <v>0</v>
      </c>
    </row>
    <row r="56" spans="1:24" ht="15" customHeight="1" x14ac:dyDescent="0.2">
      <c r="A56" s="300" t="s">
        <v>66</v>
      </c>
      <c r="B56" s="270" t="s">
        <v>64</v>
      </c>
      <c r="C56" s="252" t="s">
        <v>39</v>
      </c>
      <c r="D56" s="183"/>
      <c r="E56" s="252" t="s">
        <v>59</v>
      </c>
      <c r="F56" s="254"/>
      <c r="G56" s="248" t="s">
        <v>56</v>
      </c>
      <c r="H56" s="254"/>
      <c r="I56" s="248" t="s">
        <v>33</v>
      </c>
      <c r="J56" s="248"/>
      <c r="K56" s="248" t="s">
        <v>113</v>
      </c>
      <c r="L56" s="254"/>
      <c r="M56" s="248" t="s">
        <v>52</v>
      </c>
    </row>
    <row r="57" spans="1:24" ht="15" customHeight="1" x14ac:dyDescent="0.2">
      <c r="A57" s="300"/>
      <c r="B57" s="270"/>
      <c r="C57" s="252"/>
      <c r="D57" s="183"/>
      <c r="E57" s="252"/>
      <c r="F57" s="254"/>
      <c r="G57" s="248"/>
      <c r="H57" s="254"/>
      <c r="I57" s="248"/>
      <c r="J57" s="248"/>
      <c r="K57" s="248" t="s">
        <v>32</v>
      </c>
      <c r="L57" s="254"/>
      <c r="M57" s="248"/>
      <c r="N57" s="22" t="s">
        <v>81</v>
      </c>
      <c r="O57" s="22" t="s">
        <v>76</v>
      </c>
      <c r="P57" s="22" t="s">
        <v>80</v>
      </c>
      <c r="Q57" s="22" t="s">
        <v>75</v>
      </c>
    </row>
    <row r="58" spans="1:24" ht="15" x14ac:dyDescent="0.2">
      <c r="A58" s="191" t="s">
        <v>67</v>
      </c>
      <c r="B58" s="193"/>
      <c r="C58" s="226"/>
      <c r="D58" s="56" t="s">
        <v>51</v>
      </c>
      <c r="E58" s="56" t="str">
        <f>IF(DUREE="","",IF(DUREE&lt;15,"N/A",DUREE))</f>
        <v/>
      </c>
      <c r="F58" s="48" t="s">
        <v>51</v>
      </c>
      <c r="G58" s="34">
        <f>VLOOKUP(A58,Tarifs!A$96:M$100,2,FALSE)</f>
        <v>13</v>
      </c>
      <c r="H58" s="34" t="s">
        <v>50</v>
      </c>
      <c r="I58" s="35">
        <f>IF(OR(C58=0,DUREE&lt;15),0,IF(DUREE*G58&gt;Tarifs!C96,DUREE*G58*C58,Tarifs!C96*C58))</f>
        <v>0</v>
      </c>
      <c r="J58" s="35" t="s">
        <v>49</v>
      </c>
      <c r="K58" s="34">
        <f>IF(Tarifs!D$81=6,R58,I58-M58)</f>
        <v>0</v>
      </c>
      <c r="L58" s="34" t="s">
        <v>50</v>
      </c>
      <c r="M58" s="38">
        <f>IF(Tarifs!D$81=6,I58-K58,IF(OR(C58=0,DUREE=0),0,IF(DUREE*Tarifs!Q96&lt;Tarifs!R96,Tarifs!R96*C58,DUREE*Tarifs!Q96*C58)))</f>
        <v>0</v>
      </c>
      <c r="N58" s="127">
        <f>M3-K19-SUM(K23:K28)-SUM(K38:K41)-K50</f>
        <v>0</v>
      </c>
      <c r="O58" s="110">
        <f>IF(C58=0,0,IF(M$3=0,C58*Tarifs!U96*DUREE,IF(N58&gt;C58*Tarifs!U96*DUREE,C58*Tarifs!U96*DUREE,IF(AND(N58&lt;C58*Tarifs!U96*DUREE,N58&gt;0),N58,0))))</f>
        <v>0</v>
      </c>
      <c r="P58" s="127">
        <f>M4-SUM(K30:K33)-SUM(K43:K45)-K51</f>
        <v>0</v>
      </c>
      <c r="Q58" s="110">
        <f>IF(C58=0,0,IF(P58&gt;C58*Tarifs!T96*DUREE,C58*Tarifs!T96*DUREE,IF(AND(P58&lt;C58*Tarifs!T96*DUREE,P58&gt;0),P58,0)))</f>
        <v>0</v>
      </c>
      <c r="R58" s="110">
        <f>O58+Q58</f>
        <v>0</v>
      </c>
    </row>
    <row r="59" spans="1:24" ht="15" x14ac:dyDescent="0.2">
      <c r="A59" s="188" t="s">
        <v>68</v>
      </c>
      <c r="B59" s="190"/>
      <c r="C59" s="227"/>
      <c r="D59" s="57" t="s">
        <v>51</v>
      </c>
      <c r="E59" s="57" t="str">
        <f>IF(DUREE="","",IF(DUREE&lt;15,"N/A",DUREE))</f>
        <v/>
      </c>
      <c r="F59" s="36" t="s">
        <v>51</v>
      </c>
      <c r="G59" s="36">
        <f>VLOOKUP(A59,Tarifs!A$96:M$100,2,FALSE)</f>
        <v>8</v>
      </c>
      <c r="H59" s="36" t="s">
        <v>50</v>
      </c>
      <c r="I59" s="37">
        <f>IF(C59=0,0,IF(DUREE&lt;15,0,IF(DUREE*G59&gt;Tarifs!C97,DUREE*G59*C59,Tarifs!C97*C59)))</f>
        <v>0</v>
      </c>
      <c r="J59" s="37" t="s">
        <v>49</v>
      </c>
      <c r="K59" s="36">
        <f>IF(Tarifs!D$81=6,R59,I59-M59)</f>
        <v>0</v>
      </c>
      <c r="L59" s="36" t="s">
        <v>50</v>
      </c>
      <c r="M59" s="120">
        <f>IF(Tarifs!D$81=6,I59-K59,IF(OR(C59=0,DUREE=0),0,IF(DUREE*Tarifs!Q97&lt;Tarifs!R97,Tarifs!R97*C59,DUREE*Tarifs!Q97*C59)))</f>
        <v>0</v>
      </c>
      <c r="N59" s="110">
        <f>N58-O58</f>
        <v>0</v>
      </c>
      <c r="O59" s="110">
        <f>IF(C59=0,0,IF(M$3=0,C59*Tarifs!U97*DUREE,IF(N59&gt;C59*Tarifs!U97*DUREE,C59*Tarifs!U97*DUREE,IF(AND(N59&lt;C59*Tarifs!U97*DUREE,N59&gt;0),N59,0))))</f>
        <v>0</v>
      </c>
      <c r="P59" s="110">
        <f>P58-Q58</f>
        <v>0</v>
      </c>
      <c r="Q59" s="110">
        <f>IF(C59=0,0,IF(P59&gt;C59*Tarifs!T97*DUREE,C59*Tarifs!T97*DUREE,IF(AND(P59&lt;C59*Tarifs!T97*DUREE,P59&gt;0),P59,0)))</f>
        <v>0</v>
      </c>
      <c r="R59" s="110">
        <f>O59+Q59</f>
        <v>0</v>
      </c>
    </row>
    <row r="60" spans="1:24" ht="29.25" customHeight="1" x14ac:dyDescent="0.2">
      <c r="A60" s="220" t="s">
        <v>69</v>
      </c>
      <c r="B60" s="184" t="s">
        <v>64</v>
      </c>
      <c r="C60" s="248" t="s">
        <v>39</v>
      </c>
      <c r="D60" s="248"/>
      <c r="E60" s="248"/>
      <c r="F60" s="185"/>
      <c r="G60" s="186" t="s">
        <v>60</v>
      </c>
      <c r="H60" s="185"/>
      <c r="I60" s="187" t="s">
        <v>33</v>
      </c>
      <c r="J60" s="187"/>
      <c r="K60" s="186" t="s">
        <v>113</v>
      </c>
      <c r="L60" s="186"/>
      <c r="M60" s="186" t="s">
        <v>52</v>
      </c>
      <c r="O60" s="110"/>
    </row>
    <row r="61" spans="1:24" ht="15.75" customHeight="1" x14ac:dyDescent="0.2">
      <c r="A61" s="191" t="s">
        <v>71</v>
      </c>
      <c r="B61" s="193"/>
      <c r="C61" s="249"/>
      <c r="D61" s="250"/>
      <c r="E61" s="251"/>
      <c r="F61" s="34" t="s">
        <v>51</v>
      </c>
      <c r="G61" s="34">
        <f>VLOOKUP(A61,Tarifs!A$96:M$100,2,FALSE)</f>
        <v>200</v>
      </c>
      <c r="H61" s="34" t="s">
        <v>50</v>
      </c>
      <c r="I61" s="35">
        <f>IF(C61=0,0,C61*G61)</f>
        <v>0</v>
      </c>
      <c r="J61" s="35" t="s">
        <v>49</v>
      </c>
      <c r="K61" s="34">
        <f>IF(Tarifs!D$81=6,R61,I61-M61)</f>
        <v>0</v>
      </c>
      <c r="L61" s="34" t="s">
        <v>50</v>
      </c>
      <c r="M61" s="38">
        <f>IF(Tarifs!D$81=6,I61-K61,IF(Tarifs!D$81=5,C61*Tarifs!J98,IF(Tarifs!D$81=4,C61*Tarifs!H98,IF(Tarifs!D$81=3,C61*Tarifs!F98,IF(Tarifs!D$81=2,C61*Tarifs!D98,C61*Tarifs!B98)))))</f>
        <v>0</v>
      </c>
      <c r="N61" s="110">
        <f>N59-O59</f>
        <v>0</v>
      </c>
      <c r="O61" s="110">
        <f>IF(C61=0,0,IF(M$3=0,C61*Tarifs!U98,IF(N61&gt;C61*Tarifs!U98,C61*Tarifs!U98,IF(AND(N61&lt;C61*Tarifs!U98,N61&gt;0),N61,0))))</f>
        <v>0</v>
      </c>
      <c r="P61" s="110">
        <f>P59-Q59</f>
        <v>0</v>
      </c>
      <c r="Q61" s="110">
        <f>IF(C61=0,0,IF(P61&gt;C61*Tarifs!T98,C61*Tarifs!T98,IF(AND(P61&lt;C61*Tarifs!T98,P61&gt;0),P61,0)))</f>
        <v>0</v>
      </c>
      <c r="R61" s="110">
        <f>O61+Q61</f>
        <v>0</v>
      </c>
    </row>
    <row r="62" spans="1:24" ht="15.75" customHeight="1" x14ac:dyDescent="0.2">
      <c r="A62" s="188" t="s">
        <v>70</v>
      </c>
      <c r="B62" s="190"/>
      <c r="C62" s="274"/>
      <c r="D62" s="275"/>
      <c r="E62" s="276"/>
      <c r="F62" s="36" t="s">
        <v>51</v>
      </c>
      <c r="G62" s="36">
        <f>VLOOKUP(A62,Tarifs!A$96:M$100,2,FALSE)</f>
        <v>120</v>
      </c>
      <c r="H62" s="36" t="s">
        <v>50</v>
      </c>
      <c r="I62" s="37">
        <f>IF(C62=0,0,C62*G62)</f>
        <v>0</v>
      </c>
      <c r="J62" s="37" t="s">
        <v>49</v>
      </c>
      <c r="K62" s="36">
        <f>IF(Tarifs!D$81=6,R62,I62-M62)</f>
        <v>0</v>
      </c>
      <c r="L62" s="36" t="s">
        <v>50</v>
      </c>
      <c r="M62" s="120">
        <f>IF(Tarifs!D$81=6,I62-K62,IF(Tarifs!D$81=5,C62*Tarifs!J99,IF(Tarifs!D$81=4,C62*Tarifs!H99,IF(Tarifs!D$81=3,C62*Tarifs!F99,IF(Tarifs!D$81=2,C62*Tarifs!D99,C62*Tarifs!B99)))))</f>
        <v>0</v>
      </c>
      <c r="N62" s="110">
        <f>N61-O61</f>
        <v>0</v>
      </c>
      <c r="O62" s="110">
        <f>IF(C62=0,0,IF(M$3=0,C62*Tarifs!U99,IF(N62&gt;C62*Tarifs!U99,C62*Tarifs!U99,IF(AND(N62&lt;C62*Tarifs!U99,N62&gt;0),N62,0))))</f>
        <v>0</v>
      </c>
      <c r="P62" s="110">
        <f>P61-Q61</f>
        <v>0</v>
      </c>
      <c r="Q62" s="110">
        <f>IF(C62=0,0,IF(P62&gt;C62*Tarifs!T99,C62*Tarifs!T99,IF(AND(P62&lt;C62*Tarifs!T99,P62&gt;0),P62,0)))</f>
        <v>0</v>
      </c>
      <c r="R62" s="110">
        <f>O62+Q62</f>
        <v>0</v>
      </c>
    </row>
    <row r="63" spans="1:24" ht="24" x14ac:dyDescent="0.2">
      <c r="A63" s="220" t="s">
        <v>72</v>
      </c>
      <c r="B63" s="184" t="s">
        <v>64</v>
      </c>
      <c r="C63" s="248" t="s">
        <v>39</v>
      </c>
      <c r="D63" s="248"/>
      <c r="E63" s="248"/>
      <c r="F63" s="185"/>
      <c r="G63" s="186" t="s">
        <v>60</v>
      </c>
      <c r="H63" s="185"/>
      <c r="I63" s="187" t="s">
        <v>33</v>
      </c>
      <c r="J63" s="187"/>
      <c r="K63" s="186" t="s">
        <v>113</v>
      </c>
      <c r="L63" s="186"/>
      <c r="M63" s="186" t="s">
        <v>52</v>
      </c>
      <c r="O63" s="110"/>
      <c r="V63" s="337"/>
      <c r="W63" s="337"/>
      <c r="X63" s="337"/>
    </row>
    <row r="64" spans="1:24" ht="15.75" collapsed="1" thickBot="1" x14ac:dyDescent="0.25">
      <c r="A64" s="194" t="s">
        <v>73</v>
      </c>
      <c r="B64" s="195"/>
      <c r="C64" s="271"/>
      <c r="D64" s="272"/>
      <c r="E64" s="273"/>
      <c r="F64" s="46" t="s">
        <v>51</v>
      </c>
      <c r="G64" s="46">
        <f>VLOOKUP(A64,Tarifs!A$96:M$100,2,FALSE)</f>
        <v>30</v>
      </c>
      <c r="H64" s="46" t="s">
        <v>50</v>
      </c>
      <c r="I64" s="47">
        <f>IF(C64=0,0,C64*G64)</f>
        <v>0</v>
      </c>
      <c r="J64" s="47" t="s">
        <v>49</v>
      </c>
      <c r="K64" s="46">
        <f>IF(Tarifs!D$81=6,R64,I64-M64)</f>
        <v>0</v>
      </c>
      <c r="L64" s="46" t="s">
        <v>50</v>
      </c>
      <c r="M64" s="58">
        <f>IF(Tarifs!D$81=6,I64-K64,IF(Tarifs!D$81=5,C64*Tarifs!J100,IF(Tarifs!D$81=4,C64*Tarifs!H100,IF(Tarifs!D$81=3,C64*Tarifs!F100,IF(Tarifs!D$81=2,C64*Tarifs!D100,C64*Tarifs!B100)))))</f>
        <v>0</v>
      </c>
      <c r="N64" s="110">
        <f>N62-O62</f>
        <v>0</v>
      </c>
      <c r="O64" s="110">
        <f>IF(C64=0,0,IF(M3=0,C64*Tarifs!U100,IF(N64&gt;Tarifs!U100,C64*Tarifs!U100,IF(AND(N64&lt;C64*Tarifs!U100,N64&gt;0),N64,0))))</f>
        <v>0</v>
      </c>
      <c r="P64" s="110">
        <f>P62-Q62</f>
        <v>0</v>
      </c>
      <c r="Q64" s="110">
        <f>IF(C64=0,0,IF(P64&gt;Tarifs!T100,Tarifs!T100,IF(AND(P64&lt;Tarifs!T100,P64&gt;0),P64,0)))</f>
        <v>0</v>
      </c>
      <c r="R64" s="110">
        <f>O64+Q64</f>
        <v>0</v>
      </c>
    </row>
    <row r="65" spans="1:14" ht="15" customHeight="1" thickTop="1" x14ac:dyDescent="0.3">
      <c r="A65" s="246" t="s">
        <v>116</v>
      </c>
      <c r="B65" s="246"/>
      <c r="C65" s="246"/>
      <c r="D65" s="246"/>
      <c r="E65" s="246"/>
      <c r="F65" s="246"/>
      <c r="G65" s="246"/>
      <c r="H65" s="247"/>
      <c r="I65" s="41">
        <f>SUM(I58:I59)+I61+I62+I64+SUM(I50:I51)</f>
        <v>0</v>
      </c>
      <c r="J65" s="41" t="s">
        <v>49</v>
      </c>
      <c r="K65" s="35">
        <f>SUM(K50:K51,K54:K55,K58:K59,K61:K62,K64)</f>
        <v>0</v>
      </c>
      <c r="L65" s="33" t="s">
        <v>50</v>
      </c>
      <c r="M65" s="45">
        <f>SUM(M58:M59)+M61+M62+M64+SUM(M50:M51)</f>
        <v>0</v>
      </c>
      <c r="N65" s="117"/>
    </row>
    <row r="66" spans="1:14" ht="15" customHeight="1" x14ac:dyDescent="0.25">
      <c r="A66" s="131"/>
      <c r="B66" s="131"/>
      <c r="C66" s="131"/>
      <c r="D66" s="131"/>
      <c r="E66" s="131"/>
      <c r="F66" s="131"/>
      <c r="G66" s="131"/>
      <c r="H66" s="132"/>
      <c r="I66" s="41"/>
      <c r="J66" s="41"/>
      <c r="K66" s="35"/>
      <c r="L66" s="33"/>
      <c r="M66" s="45"/>
      <c r="N66" s="117"/>
    </row>
    <row r="67" spans="1:14" ht="30.75" customHeight="1" x14ac:dyDescent="0.2">
      <c r="A67" s="219" t="s">
        <v>168</v>
      </c>
      <c r="B67" s="196" t="s">
        <v>64</v>
      </c>
      <c r="C67" s="277" t="s">
        <v>39</v>
      </c>
      <c r="D67" s="277"/>
      <c r="E67" s="277"/>
      <c r="F67" s="197"/>
      <c r="G67" s="198" t="s">
        <v>60</v>
      </c>
      <c r="H67" s="197"/>
      <c r="I67" s="339" t="s">
        <v>167</v>
      </c>
      <c r="J67" s="339"/>
      <c r="K67" s="339"/>
      <c r="L67" s="198"/>
      <c r="M67" s="198" t="s">
        <v>52</v>
      </c>
      <c r="N67" s="117"/>
    </row>
    <row r="68" spans="1:14" ht="15" customHeight="1" x14ac:dyDescent="0.2">
      <c r="A68" s="201"/>
      <c r="B68" s="202"/>
      <c r="C68" s="284"/>
      <c r="D68" s="285"/>
      <c r="E68" s="286"/>
      <c r="F68" s="34" t="s">
        <v>51</v>
      </c>
      <c r="G68" s="34">
        <f>IF(A68="",0,VLOOKUP(A68,Tarifs!A103:B107,2,FALSE))</f>
        <v>0</v>
      </c>
      <c r="H68" s="34" t="s">
        <v>50</v>
      </c>
      <c r="I68" s="340">
        <f>IF(C68=0,0,C68*G68)</f>
        <v>0</v>
      </c>
      <c r="J68" s="340"/>
      <c r="K68" s="340"/>
      <c r="L68" s="34" t="s">
        <v>50</v>
      </c>
      <c r="M68" s="38">
        <f>I68</f>
        <v>0</v>
      </c>
      <c r="N68" s="117"/>
    </row>
    <row r="69" spans="1:14" ht="15" customHeight="1" x14ac:dyDescent="0.2">
      <c r="A69" s="199"/>
      <c r="B69" s="200"/>
      <c r="C69" s="287"/>
      <c r="D69" s="288"/>
      <c r="E69" s="289"/>
      <c r="F69" s="36" t="s">
        <v>51</v>
      </c>
      <c r="G69" s="36">
        <f>IF(A69="",0,VLOOKUP(A69,Tarifs!A$103:B$107,2,FALSE))</f>
        <v>0</v>
      </c>
      <c r="H69" s="36" t="s">
        <v>50</v>
      </c>
      <c r="I69" s="341">
        <f>IF(C69=0,0,C69*G69)</f>
        <v>0</v>
      </c>
      <c r="J69" s="341"/>
      <c r="K69" s="341"/>
      <c r="L69" s="36" t="s">
        <v>50</v>
      </c>
      <c r="M69" s="120">
        <f>I69</f>
        <v>0</v>
      </c>
      <c r="N69" s="117"/>
    </row>
    <row r="70" spans="1:14" ht="15" customHeight="1" x14ac:dyDescent="0.2">
      <c r="A70" s="201"/>
      <c r="B70" s="202"/>
      <c r="C70" s="284"/>
      <c r="D70" s="285"/>
      <c r="E70" s="286"/>
      <c r="F70" s="34" t="s">
        <v>51</v>
      </c>
      <c r="G70" s="34">
        <f>IF(A70="",0,VLOOKUP(A70,Tarifs!A$103:B$107,2,FALSE))</f>
        <v>0</v>
      </c>
      <c r="H70" s="34" t="s">
        <v>50</v>
      </c>
      <c r="I70" s="340">
        <f t="shared" ref="I69:I72" si="6">IF(C70=0,0,C70*G70)</f>
        <v>0</v>
      </c>
      <c r="J70" s="340"/>
      <c r="K70" s="340"/>
      <c r="L70" s="34" t="s">
        <v>50</v>
      </c>
      <c r="M70" s="38">
        <f>I70</f>
        <v>0</v>
      </c>
      <c r="N70" s="117"/>
    </row>
    <row r="71" spans="1:14" ht="15" customHeight="1" x14ac:dyDescent="0.2">
      <c r="A71" s="199"/>
      <c r="B71" s="200"/>
      <c r="C71" s="287"/>
      <c r="D71" s="288"/>
      <c r="E71" s="289"/>
      <c r="F71" s="36" t="s">
        <v>51</v>
      </c>
      <c r="G71" s="36">
        <f>IF(A71="",0,VLOOKUP(A71,Tarifs!A$103:B$107,2,FALSE))</f>
        <v>0</v>
      </c>
      <c r="H71" s="36" t="s">
        <v>50</v>
      </c>
      <c r="I71" s="341">
        <f t="shared" si="6"/>
        <v>0</v>
      </c>
      <c r="J71" s="341"/>
      <c r="K71" s="341"/>
      <c r="L71" s="36" t="s">
        <v>50</v>
      </c>
      <c r="M71" s="120">
        <f>I71</f>
        <v>0</v>
      </c>
      <c r="N71" s="117"/>
    </row>
    <row r="72" spans="1:14" ht="15" customHeight="1" thickBot="1" x14ac:dyDescent="0.25">
      <c r="A72" s="203"/>
      <c r="B72" s="204"/>
      <c r="C72" s="290"/>
      <c r="D72" s="291"/>
      <c r="E72" s="292"/>
      <c r="F72" s="46" t="s">
        <v>51</v>
      </c>
      <c r="G72" s="46">
        <f>IF(A72="",0,VLOOKUP(A72,Tarifs!A$103:B$107,2,FALSE))</f>
        <v>0</v>
      </c>
      <c r="H72" s="46" t="s">
        <v>50</v>
      </c>
      <c r="I72" s="342">
        <f t="shared" si="6"/>
        <v>0</v>
      </c>
      <c r="J72" s="342"/>
      <c r="K72" s="342"/>
      <c r="L72" s="46" t="s">
        <v>50</v>
      </c>
      <c r="M72" s="58">
        <f>I72</f>
        <v>0</v>
      </c>
      <c r="N72" s="117"/>
    </row>
    <row r="73" spans="1:14" ht="15" customHeight="1" thickTop="1" x14ac:dyDescent="0.3">
      <c r="A73" s="280" t="s">
        <v>98</v>
      </c>
      <c r="B73" s="280"/>
      <c r="C73" s="280"/>
      <c r="D73" s="280"/>
      <c r="E73" s="280"/>
      <c r="F73" s="280"/>
      <c r="G73" s="280"/>
      <c r="H73" s="281"/>
      <c r="I73" s="343">
        <f>SUM(I68:K72)</f>
        <v>0</v>
      </c>
      <c r="J73" s="343"/>
      <c r="K73" s="343"/>
      <c r="L73" s="33" t="s">
        <v>50</v>
      </c>
      <c r="M73" s="45">
        <f>SUM(M68:M72)</f>
        <v>0</v>
      </c>
      <c r="N73" s="117"/>
    </row>
    <row r="74" spans="1:14" ht="15" customHeight="1" x14ac:dyDescent="0.25">
      <c r="A74" s="131"/>
      <c r="B74" s="131"/>
      <c r="C74" s="131"/>
      <c r="D74" s="131"/>
      <c r="E74" s="131"/>
      <c r="F74" s="131"/>
      <c r="G74" s="131"/>
      <c r="H74" s="132"/>
      <c r="I74" s="41"/>
      <c r="J74" s="41"/>
      <c r="K74" s="35"/>
      <c r="L74" s="33"/>
      <c r="M74" s="45"/>
      <c r="N74" s="117"/>
    </row>
    <row r="75" spans="1:14" ht="27" customHeight="1" x14ac:dyDescent="0.2">
      <c r="A75" s="218" t="s">
        <v>99</v>
      </c>
      <c r="B75" s="205" t="s">
        <v>64</v>
      </c>
      <c r="C75" s="293" t="s">
        <v>39</v>
      </c>
      <c r="D75" s="293"/>
      <c r="E75" s="293"/>
      <c r="F75" s="206"/>
      <c r="G75" s="207" t="s">
        <v>60</v>
      </c>
      <c r="H75" s="206"/>
      <c r="I75" s="208" t="s">
        <v>33</v>
      </c>
      <c r="J75" s="208"/>
      <c r="K75" s="207" t="s">
        <v>113</v>
      </c>
      <c r="L75" s="207"/>
      <c r="M75" s="207" t="s">
        <v>52</v>
      </c>
      <c r="N75" s="117"/>
    </row>
    <row r="76" spans="1:14" ht="15" customHeight="1" x14ac:dyDescent="0.2">
      <c r="A76" s="346"/>
      <c r="B76" s="347"/>
      <c r="C76" s="348"/>
      <c r="D76" s="349"/>
      <c r="E76" s="350"/>
      <c r="F76" s="344" t="s">
        <v>51</v>
      </c>
      <c r="G76" s="345"/>
      <c r="H76" s="36" t="s">
        <v>50</v>
      </c>
      <c r="I76" s="37">
        <f>IF(C76=0,0,C76*G76)</f>
        <v>0</v>
      </c>
      <c r="J76" s="37" t="s">
        <v>49</v>
      </c>
      <c r="K76" s="345">
        <v>0</v>
      </c>
      <c r="L76" s="36" t="s">
        <v>50</v>
      </c>
      <c r="M76" s="120">
        <f>I76-K76</f>
        <v>0</v>
      </c>
      <c r="N76" s="117"/>
    </row>
    <row r="77" spans="1:14" ht="15" customHeight="1" x14ac:dyDescent="0.2">
      <c r="A77" s="209"/>
      <c r="B77" s="210"/>
      <c r="C77" s="322"/>
      <c r="D77" s="323"/>
      <c r="E77" s="324"/>
      <c r="F77" s="34" t="s">
        <v>51</v>
      </c>
      <c r="G77" s="211">
        <v>0</v>
      </c>
      <c r="H77" s="34" t="s">
        <v>50</v>
      </c>
      <c r="I77" s="35">
        <f>IF(C77=0,0,C77*G77)</f>
        <v>0</v>
      </c>
      <c r="J77" s="35" t="s">
        <v>49</v>
      </c>
      <c r="K77" s="211">
        <v>0</v>
      </c>
      <c r="L77" s="34" t="s">
        <v>50</v>
      </c>
      <c r="M77" s="38">
        <f>I77</f>
        <v>0</v>
      </c>
      <c r="N77" s="117"/>
    </row>
    <row r="78" spans="1:14" ht="15" customHeight="1" x14ac:dyDescent="0.2">
      <c r="A78" s="346"/>
      <c r="B78" s="347"/>
      <c r="C78" s="348"/>
      <c r="D78" s="349"/>
      <c r="E78" s="350"/>
      <c r="F78" s="344" t="s">
        <v>51</v>
      </c>
      <c r="G78" s="345">
        <v>0</v>
      </c>
      <c r="H78" s="36" t="s">
        <v>50</v>
      </c>
      <c r="I78" s="37">
        <f>IF(C78=0,0,C78*G78)</f>
        <v>0</v>
      </c>
      <c r="J78" s="37" t="s">
        <v>49</v>
      </c>
      <c r="K78" s="345">
        <v>0</v>
      </c>
      <c r="L78" s="36" t="s">
        <v>50</v>
      </c>
      <c r="M78" s="120">
        <f>I78</f>
        <v>0</v>
      </c>
      <c r="N78" s="117"/>
    </row>
    <row r="79" spans="1:14" ht="15" customHeight="1" thickBot="1" x14ac:dyDescent="0.25">
      <c r="A79" s="212"/>
      <c r="B79" s="213"/>
      <c r="C79" s="325"/>
      <c r="D79" s="326"/>
      <c r="E79" s="327"/>
      <c r="F79" s="46" t="s">
        <v>51</v>
      </c>
      <c r="G79" s="214">
        <v>0</v>
      </c>
      <c r="H79" s="46" t="s">
        <v>50</v>
      </c>
      <c r="I79" s="47">
        <f>IF(C79=0,0,C79*G79)</f>
        <v>0</v>
      </c>
      <c r="J79" s="47" t="s">
        <v>49</v>
      </c>
      <c r="K79" s="214">
        <v>0</v>
      </c>
      <c r="L79" s="46" t="s">
        <v>50</v>
      </c>
      <c r="M79" s="58">
        <f>I79</f>
        <v>0</v>
      </c>
      <c r="N79" s="117"/>
    </row>
    <row r="80" spans="1:14" ht="15" customHeight="1" thickTop="1" x14ac:dyDescent="0.3">
      <c r="A80" s="282" t="s">
        <v>100</v>
      </c>
      <c r="B80" s="282"/>
      <c r="C80" s="282"/>
      <c r="D80" s="282"/>
      <c r="E80" s="282"/>
      <c r="F80" s="282"/>
      <c r="G80" s="282"/>
      <c r="H80" s="283"/>
      <c r="I80" s="41">
        <f>SUM(I76:I79)</f>
        <v>0</v>
      </c>
      <c r="J80" s="41" t="s">
        <v>49</v>
      </c>
      <c r="K80" s="35">
        <f>SUM(K76:K79)</f>
        <v>0</v>
      </c>
      <c r="L80" s="33" t="s">
        <v>50</v>
      </c>
      <c r="M80" s="45">
        <f>SUM(M76:M79)</f>
        <v>0</v>
      </c>
      <c r="N80" s="117"/>
    </row>
    <row r="81" spans="1:13" ht="15" customHeight="1" thickBot="1" x14ac:dyDescent="0.25">
      <c r="A81" s="24"/>
      <c r="B81" s="24"/>
      <c r="I81" s="28"/>
      <c r="J81" s="28"/>
    </row>
    <row r="82" spans="1:13" ht="15" customHeight="1" x14ac:dyDescent="0.2">
      <c r="A82" s="245" t="s">
        <v>22</v>
      </c>
      <c r="B82" s="215"/>
      <c r="C82" s="216"/>
      <c r="D82" s="216"/>
      <c r="E82" s="216"/>
      <c r="F82" s="216"/>
      <c r="G82" s="216"/>
      <c r="H82" s="216"/>
      <c r="I82" s="268" t="s">
        <v>58</v>
      </c>
      <c r="J82" s="217"/>
      <c r="K82" s="296" t="s">
        <v>113</v>
      </c>
      <c r="L82" s="269"/>
      <c r="M82" s="268" t="s">
        <v>52</v>
      </c>
    </row>
    <row r="83" spans="1:13" ht="15" customHeight="1" x14ac:dyDescent="0.2">
      <c r="A83" s="245"/>
      <c r="B83" s="215"/>
      <c r="C83" s="216"/>
      <c r="D83" s="216"/>
      <c r="E83" s="216"/>
      <c r="F83" s="216"/>
      <c r="G83" s="216"/>
      <c r="H83" s="216"/>
      <c r="I83" s="268"/>
      <c r="J83" s="217"/>
      <c r="K83" s="297" t="s">
        <v>32</v>
      </c>
      <c r="L83" s="269"/>
      <c r="M83" s="268"/>
    </row>
    <row r="84" spans="1:13" ht="15" customHeight="1" x14ac:dyDescent="0.2">
      <c r="A84" s="253" t="str">
        <f>A9</f>
        <v>LOCATION D'ÉQUIPEMENTS DE TOURNAGE</v>
      </c>
      <c r="B84" s="253"/>
      <c r="C84" s="253"/>
      <c r="D84" s="253"/>
      <c r="E84" s="253"/>
      <c r="F84" s="253"/>
      <c r="G84" s="253"/>
      <c r="H84" s="31"/>
      <c r="I84" s="50">
        <f>I19</f>
        <v>0</v>
      </c>
      <c r="J84" s="50" t="s">
        <v>49</v>
      </c>
      <c r="K84" s="144">
        <f>K19</f>
        <v>0</v>
      </c>
      <c r="L84" s="50" t="s">
        <v>50</v>
      </c>
      <c r="M84" s="50">
        <f>M19</f>
        <v>0</v>
      </c>
    </row>
    <row r="85" spans="1:13" ht="15" customHeight="1" x14ac:dyDescent="0.2">
      <c r="A85" s="253" t="str">
        <f>A21</f>
        <v>POSTPRODUCTION IMAGE</v>
      </c>
      <c r="B85" s="253"/>
      <c r="C85" s="253"/>
      <c r="D85" s="253"/>
      <c r="E85" s="253"/>
      <c r="F85" s="253"/>
      <c r="G85" s="253"/>
      <c r="H85" s="31"/>
      <c r="I85" s="50">
        <f>I34</f>
        <v>0</v>
      </c>
      <c r="J85" s="50" t="s">
        <v>49</v>
      </c>
      <c r="K85" s="144">
        <f>K34</f>
        <v>0</v>
      </c>
      <c r="L85" s="50" t="s">
        <v>50</v>
      </c>
      <c r="M85" s="50">
        <f>M34</f>
        <v>0</v>
      </c>
    </row>
    <row r="86" spans="1:13" ht="21" customHeight="1" collapsed="1" x14ac:dyDescent="0.2">
      <c r="A86" s="253" t="str">
        <f>A36</f>
        <v>POSTPRODUCTION SONORE</v>
      </c>
      <c r="B86" s="253"/>
      <c r="C86" s="253"/>
      <c r="D86" s="253"/>
      <c r="E86" s="253"/>
      <c r="F86" s="253"/>
      <c r="G86" s="253" t="e">
        <f>#REF!</f>
        <v>#REF!</v>
      </c>
      <c r="H86" s="31"/>
      <c r="I86" s="50">
        <f>I46</f>
        <v>0</v>
      </c>
      <c r="J86" s="50" t="s">
        <v>49</v>
      </c>
      <c r="K86" s="144">
        <f>K46</f>
        <v>0</v>
      </c>
      <c r="L86" s="50" t="s">
        <v>50</v>
      </c>
      <c r="M86" s="50">
        <f>M46</f>
        <v>0</v>
      </c>
    </row>
    <row r="87" spans="1:13" x14ac:dyDescent="0.2">
      <c r="A87" s="253" t="str">
        <f>A48&amp;" &amp; DCP"</f>
        <v>TRANSFERTS &amp; DCP</v>
      </c>
      <c r="B87" s="253"/>
      <c r="C87" s="253"/>
      <c r="D87" s="253"/>
      <c r="E87" s="253"/>
      <c r="F87" s="253"/>
      <c r="G87" s="253"/>
      <c r="H87" s="31"/>
      <c r="I87" s="50">
        <f>I65</f>
        <v>0</v>
      </c>
      <c r="J87" s="50" t="s">
        <v>49</v>
      </c>
      <c r="K87" s="144">
        <f>K65</f>
        <v>0</v>
      </c>
      <c r="L87" s="50" t="s">
        <v>50</v>
      </c>
      <c r="M87" s="50">
        <f>M65</f>
        <v>0</v>
      </c>
    </row>
    <row r="88" spans="1:13" x14ac:dyDescent="0.2">
      <c r="A88" s="133" t="str">
        <f>A67</f>
        <v>SUPPORTS NUMÉRIQUES</v>
      </c>
      <c r="B88" s="133"/>
      <c r="C88" s="133"/>
      <c r="D88" s="133"/>
      <c r="E88" s="133"/>
      <c r="F88" s="133"/>
      <c r="G88" s="133"/>
      <c r="H88" s="31"/>
      <c r="I88" s="50">
        <f>I73</f>
        <v>0</v>
      </c>
      <c r="J88" s="50" t="s">
        <v>49</v>
      </c>
      <c r="K88" s="144">
        <f>K73</f>
        <v>0</v>
      </c>
      <c r="L88" s="50" t="s">
        <v>50</v>
      </c>
      <c r="M88" s="50">
        <f>M73</f>
        <v>0</v>
      </c>
    </row>
    <row r="89" spans="1:13" ht="15" thickBot="1" x14ac:dyDescent="0.25">
      <c r="A89" s="134" t="s">
        <v>99</v>
      </c>
      <c r="B89" s="134"/>
      <c r="C89" s="134"/>
      <c r="D89" s="134"/>
      <c r="E89" s="134"/>
      <c r="F89" s="134"/>
      <c r="G89" s="134"/>
      <c r="H89" s="30"/>
      <c r="I89" s="51">
        <f>I80</f>
        <v>0</v>
      </c>
      <c r="J89" s="51" t="s">
        <v>49</v>
      </c>
      <c r="K89" s="145">
        <f>K80</f>
        <v>0</v>
      </c>
      <c r="L89" s="51" t="s">
        <v>50</v>
      </c>
      <c r="M89" s="51">
        <f>M80</f>
        <v>0</v>
      </c>
    </row>
    <row r="90" spans="1:13" ht="21" thickTop="1" thickBot="1" x14ac:dyDescent="0.25">
      <c r="A90" s="244" t="s">
        <v>22</v>
      </c>
      <c r="B90" s="244"/>
      <c r="C90" s="244"/>
      <c r="D90" s="244"/>
      <c r="E90" s="244"/>
      <c r="F90" s="244"/>
      <c r="G90" s="244"/>
      <c r="H90" s="52"/>
      <c r="I90" s="53">
        <f>SUM(I84:I89)</f>
        <v>0</v>
      </c>
      <c r="J90" s="53" t="s">
        <v>49</v>
      </c>
      <c r="K90" s="146">
        <f>SUM(K84:K89)</f>
        <v>0</v>
      </c>
      <c r="L90" s="53" t="s">
        <v>50</v>
      </c>
      <c r="M90" s="38">
        <f>SUM(M84:M89)</f>
        <v>0</v>
      </c>
    </row>
  </sheetData>
  <sheetProtection sheet="1" objects="1" scenarios="1" selectLockedCells="1"/>
  <mergeCells count="121">
    <mergeCell ref="I72:K72"/>
    <mergeCell ref="I73:K73"/>
    <mergeCell ref="B54:D54"/>
    <mergeCell ref="I67:K67"/>
    <mergeCell ref="I68:K68"/>
    <mergeCell ref="I69:K69"/>
    <mergeCell ref="I70:K70"/>
    <mergeCell ref="I71:K71"/>
    <mergeCell ref="C77:E77"/>
    <mergeCell ref="C79:E79"/>
    <mergeCell ref="B51:D51"/>
    <mergeCell ref="K48:K49"/>
    <mergeCell ref="M48:M49"/>
    <mergeCell ref="E48:E49"/>
    <mergeCell ref="G48:G49"/>
    <mergeCell ref="I48:I49"/>
    <mergeCell ref="B44:D44"/>
    <mergeCell ref="B45:D45"/>
    <mergeCell ref="A46:H46"/>
    <mergeCell ref="A48:A49"/>
    <mergeCell ref="A52:A53"/>
    <mergeCell ref="B52:D53"/>
    <mergeCell ref="E52:E53"/>
    <mergeCell ref="G52:G53"/>
    <mergeCell ref="I52:I53"/>
    <mergeCell ref="K52:K53"/>
    <mergeCell ref="M52:M53"/>
    <mergeCell ref="B55:D55"/>
    <mergeCell ref="B43:D43"/>
    <mergeCell ref="I36:I37"/>
    <mergeCell ref="K36:K37"/>
    <mergeCell ref="M36:M37"/>
    <mergeCell ref="C38:D38"/>
    <mergeCell ref="C39:D39"/>
    <mergeCell ref="A34:H34"/>
    <mergeCell ref="B50:D50"/>
    <mergeCell ref="B48:D49"/>
    <mergeCell ref="M82:M83"/>
    <mergeCell ref="K56:K57"/>
    <mergeCell ref="M56:M57"/>
    <mergeCell ref="J56:J57"/>
    <mergeCell ref="L56:L57"/>
    <mergeCell ref="K82:K83"/>
    <mergeCell ref="B9:B10"/>
    <mergeCell ref="C21:D22"/>
    <mergeCell ref="A56:A57"/>
    <mergeCell ref="C23:D23"/>
    <mergeCell ref="C24:D24"/>
    <mergeCell ref="C25:D25"/>
    <mergeCell ref="C26:D26"/>
    <mergeCell ref="C27:D27"/>
    <mergeCell ref="C28:D28"/>
    <mergeCell ref="A19:H19"/>
    <mergeCell ref="A9:A10"/>
    <mergeCell ref="C18:D18"/>
    <mergeCell ref="B30:D30"/>
    <mergeCell ref="B33:D33"/>
    <mergeCell ref="B36:B37"/>
    <mergeCell ref="C36:D37"/>
    <mergeCell ref="E36:E37"/>
    <mergeCell ref="C41:D41"/>
    <mergeCell ref="B21:B22"/>
    <mergeCell ref="B31:D31"/>
    <mergeCell ref="B32:D32"/>
    <mergeCell ref="I82:I83"/>
    <mergeCell ref="L82:L83"/>
    <mergeCell ref="I56:I57"/>
    <mergeCell ref="E56:E57"/>
    <mergeCell ref="B56:B57"/>
    <mergeCell ref="C63:E63"/>
    <mergeCell ref="C64:E64"/>
    <mergeCell ref="C62:E62"/>
    <mergeCell ref="C67:E67"/>
    <mergeCell ref="G36:G37"/>
    <mergeCell ref="C78:E78"/>
    <mergeCell ref="A73:H73"/>
    <mergeCell ref="A80:H80"/>
    <mergeCell ref="C68:E68"/>
    <mergeCell ref="C69:E69"/>
    <mergeCell ref="C70:E70"/>
    <mergeCell ref="C76:E76"/>
    <mergeCell ref="C71:E71"/>
    <mergeCell ref="C72:E72"/>
    <mergeCell ref="C75:E75"/>
    <mergeCell ref="C40:D40"/>
    <mergeCell ref="I9:I10"/>
    <mergeCell ref="C17:D17"/>
    <mergeCell ref="C11:D11"/>
    <mergeCell ref="C12:D12"/>
    <mergeCell ref="C13:D13"/>
    <mergeCell ref="C14:D14"/>
    <mergeCell ref="C15:D15"/>
    <mergeCell ref="M21:M22"/>
    <mergeCell ref="E21:E22"/>
    <mergeCell ref="K21:K22"/>
    <mergeCell ref="I21:I22"/>
    <mergeCell ref="G21:G22"/>
    <mergeCell ref="A5:B7"/>
    <mergeCell ref="K4:L4"/>
    <mergeCell ref="K3:L3"/>
    <mergeCell ref="G5:M5"/>
    <mergeCell ref="G6:M6"/>
    <mergeCell ref="A90:G90"/>
    <mergeCell ref="A82:A83"/>
    <mergeCell ref="A65:H65"/>
    <mergeCell ref="C60:E60"/>
    <mergeCell ref="C61:E61"/>
    <mergeCell ref="C56:C57"/>
    <mergeCell ref="A84:G84"/>
    <mergeCell ref="A85:G85"/>
    <mergeCell ref="A86:G86"/>
    <mergeCell ref="A87:G87"/>
    <mergeCell ref="F56:F57"/>
    <mergeCell ref="H56:H57"/>
    <mergeCell ref="G56:G57"/>
    <mergeCell ref="M9:M10"/>
    <mergeCell ref="K9:K10"/>
    <mergeCell ref="C9:E9"/>
    <mergeCell ref="C10:D10"/>
    <mergeCell ref="C16:D16"/>
    <mergeCell ref="G9:G10"/>
  </mergeCells>
  <phoneticPr fontId="2" type="noConversion"/>
  <conditionalFormatting sqref="C58">
    <cfRule type="expression" dxfId="3" priority="4">
      <formula>DUREE&lt;15</formula>
    </cfRule>
  </conditionalFormatting>
  <conditionalFormatting sqref="C59">
    <cfRule type="expression" dxfId="2" priority="3">
      <formula>DUREE&lt;15</formula>
    </cfRule>
  </conditionalFormatting>
  <dataValidations xWindow="586" yWindow="670" count="19">
    <dataValidation allowBlank="1" errorTitle="Erreur" error="Choisissez l'équipement souhaité dans la liste" promptTitle="Équipement de tournage" prompt="Choisissez l'équipement souhaité dans la liste déroulante et indiquez ensuite dans les colonnes suivante la durée de la location" sqref="D59 C75:C79 C67:C72 C60:C64"/>
    <dataValidation type="list" allowBlank="1" showInputMessage="1" showErrorMessage="1" errorTitle="Erreur" error="Si vous avez besoins de techniciens de PRIM, choisissez dans la liste déroulante. Les honoraires des techniciens ne sont pas couverts par l'aide documentaire à risque." promptTitle="Techniciens" prompt="Si vous avez besoins de techniciens de PRIM, choisissez dans la liste déroulante. _x000a_Les honoraires des techniciens ne sont pas couverts par les programmes d'aide." sqref="A30:A33">
      <formula1>Techs_image</formula1>
    </dataValidation>
    <dataValidation allowBlank="1" showInputMessage="1" showErrorMessage="1" errorTitle="Erreur" error="Si vous avez besoins de techniciens de PRIM, choisissez dans la liste déroulante. Les honoraires des techniciens ne sont pas couverts par l'aide documentaire à risque." promptTitle="Copie DCP" prompt="Une copie maître est une copie originale nécessitant un encodage. _x000a__x000a_Une copie supplémentaire est une copie identique d'une copie maître existante." sqref="B60 A58:A64 B63 B67 B75"/>
    <dataValidation type="list" allowBlank="1" showInputMessage="1" showErrorMessage="1" errorTitle="Erreur" error="Choisissez l'équipement souhaité dans la liste" promptTitle="Postproduction image" prompt="Choisissez l'équipement souhaité dans la liste déroulante et indiquez ensuite dans les colonnes suivantes la durée de la location" sqref="A23:A28">
      <formula1>EQUIP_PPI</formula1>
    </dataValidation>
    <dataValidation allowBlank="1" showErrorMessage="1" errorTitle="Durée" error="Indiquez la durée de l'oeuvre (en minutes) tout en haut du formulaire" promptTitle="Équipement de tournage" prompt="Choisissez l'équipement souhaité dans la liste déroulante et indiquez ensuite dans les colonnes suivante la durée de la location" sqref="D58"/>
    <dataValidation type="whole" allowBlank="1" showInputMessage="1" showErrorMessage="1" errorTitle="Minutes" error="Indiquez la durée du film en minutes (ex : pour 1h35, indiquez 95)" sqref="G4">
      <formula1>0</formula1>
      <formula2>999</formula2>
    </dataValidation>
    <dataValidation allowBlank="1" showErrorMessage="1" errorTitle="Erreur" error="Choisissez l'équipement souhaité dans la liste" promptTitle="Post-production" prompt="Choisissez l'équipement souhaité dans la liste déroulante et indiquez ensuite dans les colonnes suivantes la durée de la location" sqref="B23:B28 B38:B41 B51 B55"/>
    <dataValidation allowBlank="1" showErrorMessage="1" errorTitle="Erreur" error="Si vous avez besoins de techniciens de PRIM, choisissez dans la liste déroulante. Les honoraires des techniciens ne sont pas couverts par l'aide documentaire à risque." promptTitle="Techniciens" prompt="Si vous avez besoins de techniciens de PRIM, choisissez dans la liste déroulante. Les honoraires des techniciens ne sont pas couverts par les programmes d'aide." sqref="B30:B33 B50 B43:B45 B54"/>
    <dataValidation allowBlank="1" showErrorMessage="1" errorTitle="Erreur" error="Si vous avez besoins de techniciens de PRIM, choisissez dans la liste déroulante. Les honoraires des techniciens ne sont pas couverts par l'aide documentaire à risque." promptTitle="Copie DCP" prompt="Une copie maître est une copie originale nécessitant un encodage. _x000a__x000a_Une copie supplémentaire est une copie identique d'une copie maître existante." sqref="B58:B59 B61:B62 B64 A67 B68:B72 B76:B79"/>
    <dataValidation type="list" allowBlank="1" showInputMessage="1" showErrorMessage="1" errorTitle="Erreur" error="Si vous avez besoins de techniciens de PRIM, choisissez dans la liste déroulante. Les honoraires des techniciens ne sont pas couverts par l'aide documentaire à risque." promptTitle="Supports" prompt="Choisissez dans la liste déroulante les supports nécessaires. Les supports ne sont pas couverts par les programmes d'aide et sont toujours à la charge de l'artiste" sqref="A68:A72">
      <formula1>Supports</formula1>
    </dataValidation>
    <dataValidation allowBlank="1" showInputMessage="1" showErrorMessage="1" errorTitle="Erreur" error="Si vous avez besoins de techniciens de PRIM, choisissez dans la liste déroulante. Les honoraires des techniciens ne sont pas couverts par l'aide documentaire à risque." promptTitle="AUTRES" prompt="Indiquez ici tout besoin qui n'a pas été listé précédemment. Cette section ne se calcule pas automatiquement, vous devez entrer vous même les tarifs et la part payée par PRIM, le cas échéant." sqref="A76:A79"/>
    <dataValidation allowBlank="1" showInputMessage="1" showErrorMessage="1" errorTitle="Erreur" error="Si vous avez besoins de techniciens de PRIM, choisissez dans la liste déroulante. Les honoraires des techniciens ne sont pas couverts par l'aide documentaire à risque." promptTitle="Autres" prompt="Indiquez ici tout besoin qui n'a pas été listé précédemment. Cette section ne se calcule pas automatiquement, vous devez entrer vous même les tarifs et la part payée par PRIM, le cas échéant." sqref="A75"/>
    <dataValidation type="list" allowBlank="1" showInputMessage="1" showErrorMessage="1" errorTitle="Erreur" error="Choisissez l'équipement souhaité dans la liste" promptTitle="Équipements de tournage" prompt="Choisissez l'équipement souhaité dans la liste déroulante et indiquez ensuite dans les colonnes suivante la durée de la location" sqref="A11:A18">
      <formula1>EQUIP_TOURNAGE</formula1>
    </dataValidation>
    <dataValidation type="list" allowBlank="1" showInputMessage="1" showErrorMessage="1" errorTitle="Erreur" error="Choisissez dans la liste déroulante si vous souhaitez louer l'équipement au tarif journée, fin de semaine, semaine, au mois." promptTitle="Durée de location" prompt="Choisissez dans la liste déroulante si vous souhaitez louer l'équipement au tarif journée, fin de semaine, semaine, au mois." sqref="E11:E18">
      <formula1>UNIT_Tournage</formula1>
    </dataValidation>
    <dataValidation allowBlank="1" showErrorMessage="1" errorTitle="Erreur" error="Choisissez l'équipement souhaité dans la liste" promptTitle="Équipement de tournage" prompt="Choisissez l'équipement souhaité dans la liste déroulante et indiquez ensuite dans les colonnes suivante la durée de la location" sqref="B11:B18"/>
    <dataValidation type="list" allowBlank="1" showInputMessage="1" showErrorMessage="1" errorTitle="Erreur" error="Si vous avez besoins de techniciens de PRIM, choisissez dans la liste déroulante. Les honoraires des techniciens ne sont pas couverts par l'aide documentaire à risque." promptTitle="Techniciens" prompt="Si vous avez besoins de techniciens de PRIM, choisissez dans la liste déroulante. Les honoraires des techniciens ne sont pas couverts par les programmes d'aide." sqref="A43:A45">
      <formula1>Techs_son</formula1>
    </dataValidation>
    <dataValidation type="list" allowBlank="1" showInputMessage="1" showErrorMessage="1" errorTitle="Erreur" error="Choisissez l'équipement souhaité dans la liste" promptTitle="Postproduction sonore" prompt="Choisissez l'équipement souhaité dans la liste déroulante et indiquez ensuite dans les colonnes suivantes la durée de la location" sqref="A38:A41">
      <formula1>EQUIP_PPS</formula1>
    </dataValidation>
    <dataValidation allowBlank="1" showInputMessage="1" showErrorMessage="1" errorTitle="Durée" error="Indiquez la durée de l'oeuvre (en minutes) tout en haut du formulaire" promptTitle="DCP" prompt="Indiquez d'abord la durée de l'oeuvre en haut du formulaire" sqref="C58"/>
    <dataValidation allowBlank="1" showInputMessage="1" errorTitle="Erreur" error="Choisissez l'équipement souhaité dans la liste" promptTitle="DCP" prompt="Indiquez d'abord la durée de l'oeuvre en haut du formulaire" sqref="C59"/>
  </dataValidations>
  <pageMargins left="0.47244094488188976" right="0.39370078740157483" top="0.43307086614173229" bottom="0.98425196850393704" header="0.31496062992125984" footer="0.31496062992125984"/>
  <pageSetup scale="58" fitToHeight="0" orientation="portrait" horizontalDpi="1200" verticalDpi="1200" r:id="rId1"/>
  <headerFooter>
    <oddFooter>&amp;L&amp;"Arial,Normal"&amp;9Productions Réalisations Indépendantes de Montréal (P.R.I.M.)
2180, rue Fulum, Montréal (Québec) H2K 3N9 &amp;R&amp;"Arial,Normal"&amp;9Infos et réservations : 514-524-2421 
www.primcentre.org - info@primcentre.org</oddFooter>
  </headerFooter>
  <cellWatches>
    <cellWatch r="N63"/>
  </cellWatches>
  <drawing r:id="rId2"/>
  <legacyDrawing r:id="rId3"/>
  <mc:AlternateContent xmlns:mc="http://schemas.openxmlformats.org/markup-compatibility/2006">
    <mc:Choice Requires="x14">
      <controls>
        <mc:AlternateContent xmlns:mc="http://schemas.openxmlformats.org/markup-compatibility/2006">
          <mc:Choice Requires="x14">
            <control shapeId="8237" r:id="rId4" name="Drop Down 45">
              <controlPr defaultSize="0" autoLine="0" autoPict="0">
                <anchor moveWithCells="1">
                  <from>
                    <xdr:col>5</xdr:col>
                    <xdr:colOff>123825</xdr:colOff>
                    <xdr:row>2</xdr:row>
                    <xdr:rowOff>28575</xdr:rowOff>
                  </from>
                  <to>
                    <xdr:col>10</xdr:col>
                    <xdr:colOff>238125</xdr:colOff>
                    <xdr:row>2</xdr:row>
                    <xdr:rowOff>219075</xdr:rowOff>
                  </to>
                </anchor>
              </controlPr>
            </control>
          </mc:Choice>
        </mc:AlternateContent>
        <mc:AlternateContent xmlns:mc="http://schemas.openxmlformats.org/markup-compatibility/2006">
          <mc:Choice Requires="x14">
            <control shapeId="8252" r:id="rId5" name="Check Box 60">
              <controlPr defaultSize="0" autoFill="0" autoLine="0" autoPict="0">
                <anchor moveWithCells="1">
                  <from>
                    <xdr:col>2</xdr:col>
                    <xdr:colOff>219075</xdr:colOff>
                    <xdr:row>21</xdr:row>
                    <xdr:rowOff>180975</xdr:rowOff>
                  </from>
                  <to>
                    <xdr:col>3</xdr:col>
                    <xdr:colOff>104775</xdr:colOff>
                    <xdr:row>22</xdr:row>
                    <xdr:rowOff>180975</xdr:rowOff>
                  </to>
                </anchor>
              </controlPr>
            </control>
          </mc:Choice>
        </mc:AlternateContent>
        <mc:AlternateContent xmlns:mc="http://schemas.openxmlformats.org/markup-compatibility/2006">
          <mc:Choice Requires="x14">
            <control shapeId="8255" r:id="rId6" name="Check Box 63">
              <controlPr defaultSize="0" autoFill="0" autoLine="0" autoPict="0">
                <anchor moveWithCells="1">
                  <from>
                    <xdr:col>2</xdr:col>
                    <xdr:colOff>219075</xdr:colOff>
                    <xdr:row>22</xdr:row>
                    <xdr:rowOff>180975</xdr:rowOff>
                  </from>
                  <to>
                    <xdr:col>3</xdr:col>
                    <xdr:colOff>104775</xdr:colOff>
                    <xdr:row>24</xdr:row>
                    <xdr:rowOff>28575</xdr:rowOff>
                  </to>
                </anchor>
              </controlPr>
            </control>
          </mc:Choice>
        </mc:AlternateContent>
        <mc:AlternateContent xmlns:mc="http://schemas.openxmlformats.org/markup-compatibility/2006">
          <mc:Choice Requires="x14">
            <control shapeId="8256" r:id="rId7" name="Check Box 64">
              <controlPr defaultSize="0" autoFill="0" autoLine="0" autoPict="0">
                <anchor moveWithCells="1">
                  <from>
                    <xdr:col>2</xdr:col>
                    <xdr:colOff>219075</xdr:colOff>
                    <xdr:row>23</xdr:row>
                    <xdr:rowOff>180975</xdr:rowOff>
                  </from>
                  <to>
                    <xdr:col>3</xdr:col>
                    <xdr:colOff>104775</xdr:colOff>
                    <xdr:row>25</xdr:row>
                    <xdr:rowOff>28575</xdr:rowOff>
                  </to>
                </anchor>
              </controlPr>
            </control>
          </mc:Choice>
        </mc:AlternateContent>
        <mc:AlternateContent xmlns:mc="http://schemas.openxmlformats.org/markup-compatibility/2006">
          <mc:Choice Requires="x14">
            <control shapeId="8257" r:id="rId8" name="Check Box 65">
              <controlPr defaultSize="0" autoFill="0" autoLine="0" autoPict="0">
                <anchor moveWithCells="1">
                  <from>
                    <xdr:col>2</xdr:col>
                    <xdr:colOff>219075</xdr:colOff>
                    <xdr:row>24</xdr:row>
                    <xdr:rowOff>161925</xdr:rowOff>
                  </from>
                  <to>
                    <xdr:col>3</xdr:col>
                    <xdr:colOff>104775</xdr:colOff>
                    <xdr:row>26</xdr:row>
                    <xdr:rowOff>9525</xdr:rowOff>
                  </to>
                </anchor>
              </controlPr>
            </control>
          </mc:Choice>
        </mc:AlternateContent>
        <mc:AlternateContent xmlns:mc="http://schemas.openxmlformats.org/markup-compatibility/2006">
          <mc:Choice Requires="x14">
            <control shapeId="8258" r:id="rId9" name="Check Box 66">
              <controlPr defaultSize="0" autoFill="0" autoLine="0" autoPict="0">
                <anchor moveWithCells="1">
                  <from>
                    <xdr:col>2</xdr:col>
                    <xdr:colOff>219075</xdr:colOff>
                    <xdr:row>25</xdr:row>
                    <xdr:rowOff>180975</xdr:rowOff>
                  </from>
                  <to>
                    <xdr:col>3</xdr:col>
                    <xdr:colOff>104775</xdr:colOff>
                    <xdr:row>27</xdr:row>
                    <xdr:rowOff>28575</xdr:rowOff>
                  </to>
                </anchor>
              </controlPr>
            </control>
          </mc:Choice>
        </mc:AlternateContent>
        <mc:AlternateContent xmlns:mc="http://schemas.openxmlformats.org/markup-compatibility/2006">
          <mc:Choice Requires="x14">
            <control shapeId="8259" r:id="rId10" name="Check Box 67">
              <controlPr defaultSize="0" autoFill="0" autoLine="0" autoPict="0">
                <anchor moveWithCells="1">
                  <from>
                    <xdr:col>2</xdr:col>
                    <xdr:colOff>219075</xdr:colOff>
                    <xdr:row>26</xdr:row>
                    <xdr:rowOff>152400</xdr:rowOff>
                  </from>
                  <to>
                    <xdr:col>3</xdr:col>
                    <xdr:colOff>104775</xdr:colOff>
                    <xdr:row>28</xdr:row>
                    <xdr:rowOff>0</xdr:rowOff>
                  </to>
                </anchor>
              </controlPr>
            </control>
          </mc:Choice>
        </mc:AlternateContent>
        <mc:AlternateContent xmlns:mc="http://schemas.openxmlformats.org/markup-compatibility/2006">
          <mc:Choice Requires="x14">
            <control shapeId="8263" r:id="rId11" name="Check Box 71">
              <controlPr defaultSize="0" autoFill="0" autoLine="0" autoPict="0">
                <anchor moveWithCells="1">
                  <from>
                    <xdr:col>2</xdr:col>
                    <xdr:colOff>219075</xdr:colOff>
                    <xdr:row>36</xdr:row>
                    <xdr:rowOff>180975</xdr:rowOff>
                  </from>
                  <to>
                    <xdr:col>3</xdr:col>
                    <xdr:colOff>104775</xdr:colOff>
                    <xdr:row>37</xdr:row>
                    <xdr:rowOff>180975</xdr:rowOff>
                  </to>
                </anchor>
              </controlPr>
            </control>
          </mc:Choice>
        </mc:AlternateContent>
        <mc:AlternateContent xmlns:mc="http://schemas.openxmlformats.org/markup-compatibility/2006">
          <mc:Choice Requires="x14">
            <control shapeId="8264" r:id="rId12" name="Check Box 72">
              <controlPr defaultSize="0" autoFill="0" autoLine="0" autoPict="0">
                <anchor moveWithCells="1">
                  <from>
                    <xdr:col>2</xdr:col>
                    <xdr:colOff>219075</xdr:colOff>
                    <xdr:row>37</xdr:row>
                    <xdr:rowOff>180975</xdr:rowOff>
                  </from>
                  <to>
                    <xdr:col>3</xdr:col>
                    <xdr:colOff>104775</xdr:colOff>
                    <xdr:row>39</xdr:row>
                    <xdr:rowOff>28575</xdr:rowOff>
                  </to>
                </anchor>
              </controlPr>
            </control>
          </mc:Choice>
        </mc:AlternateContent>
        <mc:AlternateContent xmlns:mc="http://schemas.openxmlformats.org/markup-compatibility/2006">
          <mc:Choice Requires="x14">
            <control shapeId="8265" r:id="rId13" name="Check Box 73">
              <controlPr defaultSize="0" autoFill="0" autoLine="0" autoPict="0">
                <anchor moveWithCells="1">
                  <from>
                    <xdr:col>2</xdr:col>
                    <xdr:colOff>219075</xdr:colOff>
                    <xdr:row>38</xdr:row>
                    <xdr:rowOff>180975</xdr:rowOff>
                  </from>
                  <to>
                    <xdr:col>3</xdr:col>
                    <xdr:colOff>104775</xdr:colOff>
                    <xdr:row>40</xdr:row>
                    <xdr:rowOff>28575</xdr:rowOff>
                  </to>
                </anchor>
              </controlPr>
            </control>
          </mc:Choice>
        </mc:AlternateContent>
        <mc:AlternateContent xmlns:mc="http://schemas.openxmlformats.org/markup-compatibility/2006">
          <mc:Choice Requires="x14">
            <control shapeId="8266" r:id="rId14" name="Check Box 74">
              <controlPr defaultSize="0" autoFill="0" autoLine="0" autoPict="0">
                <anchor moveWithCells="1">
                  <from>
                    <xdr:col>2</xdr:col>
                    <xdr:colOff>219075</xdr:colOff>
                    <xdr:row>39</xdr:row>
                    <xdr:rowOff>161925</xdr:rowOff>
                  </from>
                  <to>
                    <xdr:col>3</xdr:col>
                    <xdr:colOff>104775</xdr:colOff>
                    <xdr:row>41</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33DA3299-BE32-4A7B-A7C3-2C720AAD7F2A}">
            <xm:f>Tarifs!D$81=6</xm:f>
            <x14:dxf>
              <font>
                <color auto="1"/>
              </font>
              <fill>
                <patternFill>
                  <bgColor theme="0"/>
                </patternFill>
              </fill>
            </x14:dxf>
          </x14:cfRule>
          <xm:sqref>K3:K4</xm:sqref>
        </x14:conditionalFormatting>
        <x14:conditionalFormatting xmlns:xm="http://schemas.microsoft.com/office/excel/2006/main">
          <x14:cfRule type="expression" priority="12" id="{D2E600B7-E42F-4E07-99C1-67F47ADA82D8}">
            <xm:f>Tarifs!D$81=6</xm:f>
            <x14:dxf>
              <font>
                <color auto="1"/>
              </font>
              <fill>
                <patternFill>
                  <bgColor theme="0"/>
                </patternFill>
              </fill>
              <border>
                <bottom style="thin">
                  <color auto="1"/>
                </bottom>
              </border>
            </x14:dxf>
          </x14:cfRule>
          <xm:sqref>M3:M4</xm:sqref>
        </x14:conditionalFormatting>
      </x14:conditionalFormattings>
    </ex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15</vt:i4>
      </vt:variant>
    </vt:vector>
  </HeadingPairs>
  <TitlesOfParts>
    <vt:vector size="17" baseType="lpstr">
      <vt:lpstr>Tarifs</vt:lpstr>
      <vt:lpstr>Besoins techniques PRIM</vt:lpstr>
      <vt:lpstr>DCP</vt:lpstr>
      <vt:lpstr>DISCIPLINE</vt:lpstr>
      <vt:lpstr>DUREE</vt:lpstr>
      <vt:lpstr>EQUIP_PPI</vt:lpstr>
      <vt:lpstr>EQUIP_PPS</vt:lpstr>
      <vt:lpstr>EQUIP_TOURNAGE</vt:lpstr>
      <vt:lpstr>EQUIP_TR</vt:lpstr>
      <vt:lpstr>LTO</vt:lpstr>
      <vt:lpstr>PROGRAMME</vt:lpstr>
      <vt:lpstr>Supports</vt:lpstr>
      <vt:lpstr>Techs_image</vt:lpstr>
      <vt:lpstr>Techs_son</vt:lpstr>
      <vt:lpstr>Techs_TR</vt:lpstr>
      <vt:lpstr>UNIT_Tournage</vt:lpstr>
      <vt:lpstr>'Besoins techniques PRIM'!Zone_d_impression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dc:creator>
  <cp:keywords>Aide à la création;Documentaire à risque</cp:keywords>
  <cp:lastModifiedBy>François</cp:lastModifiedBy>
  <cp:lastPrinted>2020-03-12T16:21:27Z</cp:lastPrinted>
  <dcterms:created xsi:type="dcterms:W3CDTF">2014-09-11T00:49:37Z</dcterms:created>
  <dcterms:modified xsi:type="dcterms:W3CDTF">2022-05-12T19:25:33Z</dcterms:modified>
</cp:coreProperties>
</file>